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borah\OneDrive\Circular Keys Chorus\Finance\2016-17\"/>
    </mc:Choice>
  </mc:AlternateContent>
  <bookViews>
    <workbookView xWindow="0" yWindow="0" windowWidth="51210" windowHeight="26610" activeTab="1"/>
  </bookViews>
  <sheets>
    <sheet name="Budget" sheetId="1" r:id="rId1"/>
    <sheet name="Actual vs Budget" sheetId="4" r:id="rId2"/>
    <sheet name="Event &amp; Fundraising" sheetId="2" r:id="rId3"/>
    <sheet name="Education" sheetId="6" r:id="rId4"/>
    <sheet name="Costume" sheetId="7" r:id="rId5"/>
    <sheet name="Concert 17Sep16" sheetId="8" r:id="rId6"/>
  </sheets>
  <definedNames>
    <definedName name="_xlnm.Print_Titles" localSheetId="0">Budget!$4:$5</definedName>
  </definedNames>
  <calcPr calcId="171027" concurrentCalc="0"/>
</workbook>
</file>

<file path=xl/calcChain.xml><?xml version="1.0" encoding="utf-8"?>
<calcChain xmlns="http://schemas.openxmlformats.org/spreadsheetml/2006/main">
  <c r="I6" i="2" l="1"/>
  <c r="H6" i="2"/>
  <c r="C54" i="4"/>
  <c r="C55" i="4"/>
  <c r="C56" i="4"/>
  <c r="C57" i="4"/>
  <c r="C53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36" i="4"/>
  <c r="C34" i="4"/>
  <c r="C33" i="4"/>
  <c r="C32" i="4"/>
  <c r="C31" i="4"/>
  <c r="C29" i="4"/>
  <c r="C28" i="4"/>
  <c r="C26" i="4"/>
  <c r="C25" i="4"/>
  <c r="C24" i="4"/>
  <c r="C18" i="4"/>
  <c r="E47" i="4"/>
  <c r="E26" i="6"/>
  <c r="E27" i="6"/>
  <c r="D24" i="6"/>
  <c r="C28" i="2"/>
  <c r="D28" i="2"/>
  <c r="E28" i="2"/>
  <c r="F28" i="2"/>
  <c r="G28" i="2"/>
  <c r="H28" i="2"/>
  <c r="I28" i="2"/>
  <c r="J28" i="2"/>
  <c r="B28" i="2"/>
  <c r="J3" i="2"/>
  <c r="J4" i="2"/>
  <c r="J5" i="2"/>
  <c r="J6" i="2"/>
  <c r="J8" i="2"/>
  <c r="J9" i="2"/>
  <c r="J10" i="2"/>
  <c r="J11" i="2"/>
  <c r="J15" i="2"/>
  <c r="J16" i="2"/>
  <c r="J17" i="2"/>
  <c r="J18" i="2"/>
  <c r="J19" i="2"/>
  <c r="J20" i="2"/>
  <c r="J21" i="2"/>
  <c r="J22" i="2"/>
  <c r="J23" i="2"/>
  <c r="J24" i="2"/>
  <c r="J25" i="2"/>
  <c r="J26" i="2"/>
  <c r="J30" i="2"/>
  <c r="I11" i="2"/>
  <c r="I30" i="2"/>
  <c r="H11" i="2"/>
  <c r="H30" i="2"/>
  <c r="I26" i="1"/>
  <c r="I63" i="1"/>
  <c r="I65" i="1"/>
  <c r="F65" i="1"/>
  <c r="H61" i="1"/>
  <c r="H59" i="1"/>
  <c r="H18" i="1"/>
  <c r="E31" i="1"/>
  <c r="E32" i="1"/>
  <c r="E9" i="1"/>
  <c r="E8" i="1"/>
  <c r="D36" i="7"/>
  <c r="C36" i="7"/>
  <c r="E6" i="7"/>
  <c r="C17" i="7"/>
  <c r="C7" i="7"/>
  <c r="C28" i="7"/>
  <c r="E14" i="6"/>
  <c r="E15" i="6"/>
  <c r="E16" i="6"/>
  <c r="E17" i="6"/>
  <c r="E18" i="6"/>
  <c r="E19" i="6"/>
  <c r="E5" i="2"/>
  <c r="E11" i="2"/>
  <c r="E30" i="2"/>
  <c r="Q67" i="4"/>
  <c r="E21" i="6"/>
  <c r="G20" i="2"/>
  <c r="G15" i="2"/>
  <c r="G16" i="2"/>
  <c r="G17" i="2"/>
  <c r="G18" i="2"/>
  <c r="G19" i="2"/>
  <c r="G21" i="2"/>
  <c r="G22" i="2"/>
  <c r="G23" i="2"/>
  <c r="G24" i="2"/>
  <c r="G25" i="2"/>
  <c r="G26" i="2"/>
  <c r="G6" i="2"/>
  <c r="G3" i="2"/>
  <c r="G4" i="2"/>
  <c r="F5" i="2"/>
  <c r="G5" i="2"/>
  <c r="G8" i="2"/>
  <c r="G9" i="2"/>
  <c r="G11" i="2"/>
  <c r="G30" i="2"/>
  <c r="F11" i="2"/>
  <c r="F30" i="2"/>
  <c r="P67" i="4"/>
  <c r="O67" i="4"/>
  <c r="D33" i="7"/>
  <c r="N67" i="4"/>
  <c r="M67" i="4"/>
  <c r="C19" i="6"/>
  <c r="D19" i="6"/>
  <c r="D10" i="6"/>
  <c r="C10" i="6"/>
  <c r="E4" i="6"/>
  <c r="E5" i="6"/>
  <c r="E6" i="6"/>
  <c r="E7" i="6"/>
  <c r="E8" i="6"/>
  <c r="E9" i="6"/>
  <c r="L67" i="4"/>
  <c r="K67" i="4"/>
  <c r="J67" i="4"/>
  <c r="D28" i="6"/>
  <c r="C28" i="6"/>
  <c r="I67" i="4"/>
  <c r="H67" i="4"/>
  <c r="E40" i="4"/>
  <c r="G67" i="4"/>
  <c r="F67" i="4"/>
  <c r="D67" i="4"/>
  <c r="E24" i="6"/>
  <c r="E28" i="6"/>
  <c r="E13" i="6"/>
  <c r="E3" i="6"/>
  <c r="E10" i="6"/>
  <c r="D27" i="7"/>
  <c r="D24" i="7"/>
  <c r="D16" i="7"/>
  <c r="E32" i="6"/>
  <c r="E36" i="7"/>
  <c r="E7" i="7"/>
  <c r="I59" i="4"/>
  <c r="E43" i="4"/>
  <c r="E37" i="4"/>
  <c r="E25" i="4"/>
  <c r="E17" i="4"/>
  <c r="E16" i="4"/>
  <c r="E54" i="4"/>
  <c r="H59" i="4"/>
  <c r="E55" i="4"/>
  <c r="E57" i="4"/>
  <c r="E56" i="4"/>
  <c r="E51" i="4"/>
  <c r="E50" i="4"/>
  <c r="E49" i="4"/>
  <c r="E46" i="4"/>
  <c r="E45" i="4"/>
  <c r="E44" i="4"/>
  <c r="E42" i="4"/>
  <c r="E39" i="4"/>
  <c r="E33" i="4"/>
  <c r="E32" i="4"/>
  <c r="E28" i="4"/>
  <c r="E26" i="4"/>
  <c r="E18" i="4"/>
  <c r="E12" i="4"/>
  <c r="E6" i="4"/>
  <c r="E5" i="4"/>
  <c r="E13" i="4"/>
  <c r="E29" i="4"/>
  <c r="D18" i="4"/>
  <c r="F59" i="4"/>
  <c r="G59" i="4"/>
  <c r="C17" i="4"/>
  <c r="C16" i="4"/>
  <c r="C15" i="4"/>
  <c r="C13" i="4"/>
  <c r="C12" i="4"/>
  <c r="C11" i="4"/>
  <c r="C10" i="4"/>
  <c r="C8" i="4"/>
  <c r="C6" i="4"/>
  <c r="C5" i="4"/>
  <c r="I10" i="1"/>
  <c r="I7" i="1"/>
  <c r="I56" i="1"/>
  <c r="I39" i="1"/>
  <c r="I33" i="1"/>
  <c r="I17" i="1"/>
  <c r="I12" i="1"/>
  <c r="F56" i="1"/>
  <c r="F39" i="1"/>
  <c r="F33" i="1"/>
  <c r="C4" i="2"/>
  <c r="F26" i="1"/>
  <c r="F17" i="1"/>
  <c r="F12" i="1"/>
  <c r="B17" i="2"/>
  <c r="D17" i="2"/>
  <c r="B4" i="2"/>
  <c r="D26" i="2"/>
  <c r="D21" i="2"/>
  <c r="D20" i="2"/>
  <c r="D19" i="2"/>
  <c r="D18" i="2"/>
  <c r="D16" i="2"/>
  <c r="D15" i="2"/>
  <c r="B3" i="2"/>
  <c r="E11" i="4"/>
  <c r="E48" i="4"/>
  <c r="E36" i="4"/>
  <c r="G75" i="4"/>
  <c r="G77" i="4"/>
  <c r="E38" i="4"/>
  <c r="E31" i="4"/>
  <c r="E34" i="4"/>
  <c r="J59" i="4"/>
  <c r="E53" i="4"/>
  <c r="D27" i="4"/>
  <c r="D4" i="4"/>
  <c r="I30" i="1"/>
  <c r="I23" i="1"/>
  <c r="I20" i="4"/>
  <c r="H20" i="4"/>
  <c r="H61" i="4"/>
  <c r="G20" i="4"/>
  <c r="F20" i="4"/>
  <c r="F61" i="4"/>
  <c r="F68" i="4"/>
  <c r="D14" i="4"/>
  <c r="D35" i="4"/>
  <c r="D30" i="4"/>
  <c r="D23" i="4"/>
  <c r="D9" i="4"/>
  <c r="D7" i="4"/>
  <c r="K20" i="4"/>
  <c r="C63" i="1"/>
  <c r="J20" i="4"/>
  <c r="B11" i="2"/>
  <c r="F7" i="1"/>
  <c r="F23" i="1"/>
  <c r="C11" i="2"/>
  <c r="F30" i="1"/>
  <c r="F63" i="1"/>
  <c r="D4" i="2"/>
  <c r="D9" i="2"/>
  <c r="D10" i="2"/>
  <c r="D3" i="2"/>
  <c r="H75" i="4"/>
  <c r="O59" i="4"/>
  <c r="M59" i="4"/>
  <c r="L59" i="4"/>
  <c r="M20" i="4"/>
  <c r="G61" i="4"/>
  <c r="G68" i="4"/>
  <c r="H68" i="4"/>
  <c r="L20" i="4"/>
  <c r="D20" i="4"/>
  <c r="I61" i="4"/>
  <c r="J61" i="4"/>
  <c r="E15" i="4"/>
  <c r="P20" i="4"/>
  <c r="O20" i="4"/>
  <c r="E10" i="4"/>
  <c r="N20" i="4"/>
  <c r="Q20" i="4"/>
  <c r="D8" i="2"/>
  <c r="D11" i="2"/>
  <c r="E8" i="4"/>
  <c r="P59" i="4"/>
  <c r="D52" i="4"/>
  <c r="D59" i="4"/>
  <c r="E24" i="4"/>
  <c r="N59" i="4"/>
  <c r="I75" i="4"/>
  <c r="I68" i="4"/>
  <c r="H77" i="4"/>
  <c r="L61" i="4"/>
  <c r="D61" i="4"/>
  <c r="O61" i="4"/>
  <c r="E20" i="4"/>
  <c r="N61" i="4"/>
  <c r="M61" i="4"/>
  <c r="P61" i="4"/>
  <c r="K59" i="4"/>
  <c r="K61" i="4"/>
  <c r="E41" i="4"/>
  <c r="E59" i="4"/>
  <c r="Q59" i="4"/>
  <c r="Q61" i="4"/>
  <c r="J75" i="4"/>
  <c r="J68" i="4"/>
  <c r="K68" i="4"/>
  <c r="I77" i="4"/>
  <c r="E61" i="4"/>
  <c r="K75" i="4"/>
  <c r="K77" i="4"/>
  <c r="J77" i="4"/>
  <c r="L68" i="4"/>
  <c r="L75" i="4"/>
  <c r="L77" i="4"/>
  <c r="M68" i="4"/>
  <c r="M75" i="4"/>
  <c r="M77" i="4"/>
  <c r="N68" i="4"/>
  <c r="N75" i="4"/>
  <c r="N77" i="4"/>
  <c r="O68" i="4"/>
  <c r="O75" i="4"/>
  <c r="O77" i="4"/>
  <c r="P68" i="4"/>
  <c r="P75" i="4"/>
  <c r="P77" i="4"/>
  <c r="Q75" i="4"/>
  <c r="Q68" i="4"/>
  <c r="Q77" i="4"/>
  <c r="E16" i="7"/>
  <c r="E17" i="7"/>
  <c r="E24" i="7"/>
  <c r="E25" i="7"/>
  <c r="E27" i="7"/>
  <c r="E28" i="7"/>
  <c r="E33" i="7"/>
  <c r="E34" i="7"/>
</calcChain>
</file>

<file path=xl/comments1.xml><?xml version="1.0" encoding="utf-8"?>
<comments xmlns="http://schemas.openxmlformats.org/spreadsheetml/2006/main">
  <authors>
    <author>Deborah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Deborah:</t>
        </r>
        <r>
          <rPr>
            <sz val="9"/>
            <color indexed="81"/>
            <rFont val="Tahoma"/>
            <family val="2"/>
          </rPr>
          <t xml:space="preserve">
Members paying balance of Wollongong accommodation
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Deborah:</t>
        </r>
        <r>
          <rPr>
            <sz val="9"/>
            <color indexed="81"/>
            <rFont val="Tahoma"/>
            <family val="2"/>
          </rPr>
          <t xml:space="preserve">
Pay Hotel balance of cost of accommodation for Wollongong
</t>
        </r>
      </text>
    </comment>
  </commentList>
</comments>
</file>

<file path=xl/sharedStrings.xml><?xml version="1.0" encoding="utf-8"?>
<sst xmlns="http://schemas.openxmlformats.org/spreadsheetml/2006/main" count="405" uniqueCount="265">
  <si>
    <t>CIRCULAR KEYS CHORUS</t>
  </si>
  <si>
    <t>Category</t>
  </si>
  <si>
    <t>RECEIPTS</t>
  </si>
  <si>
    <t>Fundraising/Event income</t>
  </si>
  <si>
    <t>Grants Income</t>
  </si>
  <si>
    <t>Grants - other</t>
  </si>
  <si>
    <t>Miscellaneous income</t>
  </si>
  <si>
    <t>Donations - non tax deductible</t>
  </si>
  <si>
    <t>Interest</t>
  </si>
  <si>
    <t>Other income</t>
  </si>
  <si>
    <t>Operating income</t>
  </si>
  <si>
    <t>Membership fees</t>
  </si>
  <si>
    <t>Performance fees</t>
  </si>
  <si>
    <t>TOTAL RECEIPTS</t>
  </si>
  <si>
    <t>EXPENSES</t>
  </si>
  <si>
    <t>Administrative expenses</t>
  </si>
  <si>
    <t>Bank charges</t>
  </si>
  <si>
    <t>Fees and permits</t>
  </si>
  <si>
    <t>Merchant fees</t>
  </si>
  <si>
    <t>Fundraising/Event expenses</t>
  </si>
  <si>
    <t>Miscellaneous expenses</t>
  </si>
  <si>
    <t>Gifts</t>
  </si>
  <si>
    <t>Other expenses</t>
  </si>
  <si>
    <t>Operating expenses</t>
  </si>
  <si>
    <t>Advertising &amp; Promotion</t>
  </si>
  <si>
    <t>Association Activities</t>
  </si>
  <si>
    <t>Computer expenses</t>
  </si>
  <si>
    <t>Costumes</t>
  </si>
  <si>
    <t>Education</t>
  </si>
  <si>
    <t>Meeting expenses</t>
  </si>
  <si>
    <t>Postage, freight &amp; courier</t>
  </si>
  <si>
    <t>Printing &amp; Stationery</t>
  </si>
  <si>
    <t>Staff expenses</t>
  </si>
  <si>
    <t>Director Honorarium</t>
  </si>
  <si>
    <t>International dues</t>
  </si>
  <si>
    <t>Refund of escrow</t>
  </si>
  <si>
    <t>Regional dues</t>
  </si>
  <si>
    <t>Receipts</t>
  </si>
  <si>
    <t>Expenses</t>
  </si>
  <si>
    <t>Net</t>
  </si>
  <si>
    <t>Spring bulbs</t>
  </si>
  <si>
    <t>Chocolates</t>
  </si>
  <si>
    <t>2009 - 2010 (actual)</t>
  </si>
  <si>
    <t>Sub-category</t>
  </si>
  <si>
    <t>See fundraising breakdown</t>
  </si>
  <si>
    <t>Sweet Adelines Aust ($2500), Heino ($2000), Intimo ($490.85)</t>
  </si>
  <si>
    <t>Riverblenders ($1593.61), Riser Fund ($4810), Pauline's fund ($553), Other ($432.06)</t>
  </si>
  <si>
    <t>Glee comp ($2000), Eisteddfod ($1000), Shared coaching costs ($1494.69), Chorus dinner ($400), Other ($991.03)</t>
  </si>
  <si>
    <t>2010 estimate 70 current x $480 + 20 new x $280</t>
  </si>
  <si>
    <t>Banner ($2150), Nashville photos ($1177.91), Anniversary pins ($668.10), Software licence, Learning tracks, Arrangements</t>
  </si>
  <si>
    <t>Nashville coach hire ($3407.48), breakfast ($2402.21), member reimbursements ($20520), Convention registrations</t>
  </si>
  <si>
    <t>Comments on 2009-2010</t>
  </si>
  <si>
    <t>Honorarium , accomm, travel</t>
  </si>
  <si>
    <t>90 x $90</t>
  </si>
  <si>
    <t>Coaching (Lea, Cathy, Di Huber 2011), Regional Directors School</t>
  </si>
  <si>
    <t>TOTAL EXPENSES</t>
  </si>
  <si>
    <t>Sausage sizzles</t>
  </si>
  <si>
    <t>TOTAL</t>
  </si>
  <si>
    <t>Comments on 2010-2011</t>
  </si>
  <si>
    <t>Need to register Riser Fund as a project with ACF</t>
  </si>
  <si>
    <t>Riser Fund (member donations)</t>
  </si>
  <si>
    <t>Term Deposit and Escrow Accounts</t>
  </si>
  <si>
    <t>Transfers for t shirts</t>
  </si>
  <si>
    <t>based on previous year</t>
  </si>
  <si>
    <t>PR estimate</t>
  </si>
  <si>
    <t>Newcastle convention registrations and costs ($10500), Social committee ($500)</t>
  </si>
  <si>
    <t>Assume no new costumes this year</t>
  </si>
  <si>
    <t>estimated</t>
  </si>
  <si>
    <t>assume 90 members x $90 AUD ($80 USD)</t>
  </si>
  <si>
    <t>Paid in May 2010</t>
  </si>
  <si>
    <t>see fundraising breakdown and PR budget for membership drive</t>
  </si>
  <si>
    <t>May</t>
  </si>
  <si>
    <t>June</t>
  </si>
  <si>
    <t>July</t>
  </si>
  <si>
    <t xml:space="preserve">April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</si>
  <si>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</si>
  <si>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</si>
  <si>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</si>
  <si>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</si>
  <si>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</si>
  <si>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</si>
  <si>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</si>
  <si>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</si>
  <si>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Actual + Budget</t>
  </si>
  <si>
    <t>Actual</t>
  </si>
  <si>
    <t>SURPLUS/DEFICIT</t>
  </si>
  <si>
    <t>Equipment</t>
  </si>
  <si>
    <t>Budget</t>
  </si>
  <si>
    <t>Events</t>
  </si>
  <si>
    <t>Fundraising</t>
  </si>
  <si>
    <t>Arrangers fees and copyright</t>
  </si>
  <si>
    <t>DATE</t>
  </si>
  <si>
    <t>COACH</t>
  </si>
  <si>
    <t>TRAVEL</t>
  </si>
  <si>
    <t>FEES</t>
  </si>
  <si>
    <t>Director Expenses &amp; Education</t>
  </si>
  <si>
    <t>Angel Fund</t>
  </si>
  <si>
    <t>costumes and badges</t>
  </si>
  <si>
    <t>Prospective member weekly fees</t>
  </si>
  <si>
    <t xml:space="preserve">Angel Fund outgoing donation </t>
  </si>
  <si>
    <t>2015-2016  BUDGET</t>
  </si>
  <si>
    <t>2015-2016 Budget</t>
  </si>
  <si>
    <t>2014-15 (actual)</t>
  </si>
  <si>
    <t>Entertainment Books</t>
  </si>
  <si>
    <t>Miscellaneous</t>
  </si>
  <si>
    <t>interest received</t>
  </si>
  <si>
    <t>interest paid</t>
  </si>
  <si>
    <t>Repairs &amp; Maintenance</t>
  </si>
  <si>
    <t>Hospitality</t>
  </si>
  <si>
    <t>Insurance - Equipment</t>
  </si>
  <si>
    <t>Insurance - Public liability &amp; volunteer</t>
  </si>
  <si>
    <t>Mo Field</t>
  </si>
  <si>
    <t>Di Huber</t>
  </si>
  <si>
    <t>Costumes and Badges</t>
  </si>
  <si>
    <t>Prospective member weekly fee</t>
  </si>
  <si>
    <t>Angel Fund outgoing</t>
  </si>
  <si>
    <t>Interest paid</t>
  </si>
  <si>
    <t>Costumes &amp; Badges</t>
  </si>
  <si>
    <t>COSTUME LEVY FUND</t>
  </si>
  <si>
    <t>(accumulates from January chorus dues excluding escrow)</t>
  </si>
  <si>
    <t>Outgoing</t>
  </si>
  <si>
    <t>Incoming</t>
  </si>
  <si>
    <t>Purple jackets paid for by members; dying blue pants; polo shirts</t>
  </si>
  <si>
    <t>Comment (main items)</t>
  </si>
  <si>
    <t>Balance</t>
  </si>
  <si>
    <t>Income/Expenditure 2012-2013</t>
  </si>
  <si>
    <t>Income/Expenditure 2013-2014</t>
  </si>
  <si>
    <t>Income/Expenditure 2014-15</t>
  </si>
  <si>
    <t>Black tops</t>
  </si>
  <si>
    <t xml:space="preserve">Balance at 31 March 2012 </t>
  </si>
  <si>
    <t>Shoes - paid for by members; black velvet pants (Rivars)</t>
  </si>
  <si>
    <t>13-14 Feb 2016</t>
  </si>
  <si>
    <t>2014-2015</t>
  </si>
  <si>
    <t>Lyn Smith</t>
  </si>
  <si>
    <t>2015-2016</t>
  </si>
  <si>
    <t>2016-2017</t>
  </si>
  <si>
    <t>April 2014</t>
  </si>
  <si>
    <t>July 2014</t>
  </si>
  <si>
    <t>Oct 2014</t>
  </si>
  <si>
    <t>Dede Nibler</t>
  </si>
  <si>
    <t>Aug 2014</t>
  </si>
  <si>
    <t>Feb 2015</t>
  </si>
  <si>
    <t>Dale Syverson</t>
  </si>
  <si>
    <t>Judy Poszgay</t>
  </si>
  <si>
    <t>Mar 2015</t>
  </si>
  <si>
    <t>May 2015</t>
  </si>
  <si>
    <t>air fare?</t>
  </si>
  <si>
    <t xml:space="preserve"> Plus January 2013 dues</t>
  </si>
  <si>
    <t>Plus January 2014 dues</t>
  </si>
  <si>
    <t>Plus January 2015 dues</t>
  </si>
  <si>
    <t>Convention 2014 (Sydney)</t>
  </si>
  <si>
    <t>Convention 2015 (Hobart)</t>
  </si>
  <si>
    <t>Convention 2016 (Wollongong)</t>
  </si>
  <si>
    <t>Two bank accounts and term deposit</t>
  </si>
  <si>
    <t>FUNDS</t>
  </si>
  <si>
    <t>Westpac Community Solutions (cheque)</t>
  </si>
  <si>
    <t>Westpac Maxi Saver (savings)</t>
  </si>
  <si>
    <t>Term Deposit</t>
  </si>
  <si>
    <t>PROVISIONS</t>
  </si>
  <si>
    <t>Check (prev bal plus surplus/deficit)</t>
  </si>
  <si>
    <t>Costume fund</t>
  </si>
  <si>
    <t>Chorus contingency fund</t>
  </si>
  <si>
    <t>Escrow account</t>
  </si>
  <si>
    <t>Total provisions</t>
  </si>
  <si>
    <t>Total funds</t>
  </si>
  <si>
    <t>AVAILABLE FUNDS (funds less provisions)</t>
  </si>
  <si>
    <t>Consumables</t>
  </si>
  <si>
    <t>TOTAL (future)</t>
  </si>
  <si>
    <t>Lynne Smith</t>
  </si>
  <si>
    <t>BUDGET</t>
  </si>
  <si>
    <t>Includes 2010, 2011, 2012 January fees</t>
  </si>
  <si>
    <t>Blue Illusion</t>
  </si>
  <si>
    <t>Jewellery</t>
  </si>
  <si>
    <t>2015-16 (actual)</t>
  </si>
  <si>
    <t>$550 USD for all day Saturday - prefers US dollars</t>
  </si>
  <si>
    <t>11-13 Mar 2016</t>
  </si>
  <si>
    <t>Linda Keever (4 Bettys)</t>
  </si>
  <si>
    <t>per Lindsay Dyer</t>
  </si>
  <si>
    <t>BALANCE REMAINING</t>
  </si>
  <si>
    <t>Income/Expenditure 2015-16</t>
  </si>
  <si>
    <t>Plus January 2016 dues</t>
  </si>
  <si>
    <t>Ask chorus members to contribute $60 each - $60 *51 = $3600</t>
  </si>
  <si>
    <t>6 Feb 2016</t>
  </si>
  <si>
    <t>for Visual Plan</t>
  </si>
  <si>
    <t>Feb 2016</t>
  </si>
  <si>
    <t>Makeup</t>
  </si>
  <si>
    <t>Christmas raffle</t>
  </si>
  <si>
    <t xml:space="preserve">Harmony Bazaar </t>
  </si>
  <si>
    <t>Garage Sale</t>
  </si>
  <si>
    <t>Triivia Night</t>
  </si>
  <si>
    <t>Bingo</t>
  </si>
  <si>
    <t>2015-16 actual</t>
  </si>
  <si>
    <t>Total Fundraising  + Events</t>
  </si>
  <si>
    <t>Darlene Rogers PVIs</t>
  </si>
  <si>
    <t>(coaching plus travel)</t>
  </si>
  <si>
    <t>Lea Baker</t>
  </si>
  <si>
    <t>30 April - 1 May 2016</t>
  </si>
  <si>
    <t>February 2017</t>
  </si>
  <si>
    <t>Costume levy 2016</t>
  </si>
  <si>
    <t>Makamy Designs aqua costume</t>
  </si>
  <si>
    <t>Karen Tucker  - fabric</t>
  </si>
  <si>
    <t>Karen Tucker - black pants</t>
  </si>
  <si>
    <t>Rivars USA - black pants</t>
  </si>
  <si>
    <t>Karen Tucker - shoes</t>
  </si>
  <si>
    <t>Cathy Bartley - black tops</t>
  </si>
  <si>
    <t>Team Sports - purple jacket</t>
  </si>
  <si>
    <t>Cathy Bartley - fabric</t>
  </si>
  <si>
    <t>Corporate Profile - polo shirts</t>
  </si>
  <si>
    <t>Cathy Bartley - costumes</t>
  </si>
  <si>
    <t>Cathy Bartley - dyeing pants</t>
  </si>
  <si>
    <t>Team Group - purplejackets</t>
  </si>
  <si>
    <t>Income/Expenditure 2011-2012</t>
  </si>
  <si>
    <t>2015-16 Actual</t>
  </si>
  <si>
    <t>2016-17 Budget</t>
  </si>
  <si>
    <t>Comments on 2015-2016</t>
  </si>
  <si>
    <t>Comments on 2016--2017</t>
  </si>
  <si>
    <t>Donations paid</t>
  </si>
  <si>
    <t>Cancer council</t>
  </si>
  <si>
    <t>Net of $85,000 bank transfers</t>
  </si>
  <si>
    <t>Net of  $85,000 in bank transfers</t>
  </si>
  <si>
    <t xml:space="preserve">Groupanizer </t>
  </si>
  <si>
    <t>See Events worksheet</t>
  </si>
  <si>
    <t>See Fundraising worksheet</t>
  </si>
  <si>
    <t>Assuming no successful grants</t>
  </si>
  <si>
    <t>Assuming no donations</t>
  </si>
  <si>
    <t>Assuming no donations to Angel Fund</t>
  </si>
  <si>
    <t>Lower interest rates</t>
  </si>
  <si>
    <t>Based on previous year</t>
  </si>
  <si>
    <t>Based on 53 full + 1 assoc + 1 youth + 2 non fee paying members</t>
  </si>
  <si>
    <t>Assuming no new costumes</t>
  </si>
  <si>
    <t>Assuming no new members</t>
  </si>
  <si>
    <t>See events worksheet</t>
  </si>
  <si>
    <t>Assumes no new costumes</t>
  </si>
  <si>
    <t>57 x $100USD x 1.40 exchange rate</t>
  </si>
  <si>
    <t>57 * $67</t>
  </si>
  <si>
    <t>NET PROFIT/LOSS</t>
  </si>
  <si>
    <t>2016 - 2017 (budget)</t>
  </si>
  <si>
    <t>2016-17 budget</t>
  </si>
  <si>
    <t>2014-15 actual</t>
  </si>
  <si>
    <t xml:space="preserve">Christmas Party </t>
  </si>
  <si>
    <t>Convention 2017 (Perth)</t>
  </si>
  <si>
    <t xml:space="preserve">Retreat </t>
  </si>
  <si>
    <t>Vocal workshop/new member workshop</t>
  </si>
  <si>
    <t>Comments</t>
  </si>
  <si>
    <t>Members pay own accomm, air fares, registrations</t>
  </si>
  <si>
    <t>CKC pays for Director and coach</t>
  </si>
  <si>
    <t>12-14 August 2016</t>
  </si>
  <si>
    <t>Linda Keever</t>
  </si>
  <si>
    <t>shared with Northern Beaches?</t>
  </si>
  <si>
    <t>CONCERT - 17TH SEPTEMBER 2016 - INDEPENDENT THEATRE</t>
  </si>
  <si>
    <t>Costs</t>
  </si>
  <si>
    <t>Theatre hire</t>
  </si>
  <si>
    <t>Publicity</t>
  </si>
  <si>
    <t>Fee to Sydney Harmony?</t>
  </si>
  <si>
    <t>Income</t>
  </si>
  <si>
    <t>July 20106 - AHA in Auckland NZ
Oct 2016 - SAI Convention Las Vegas ($1700 paid in 2015-16)</t>
  </si>
  <si>
    <t>Concert 17th September 2016</t>
  </si>
  <si>
    <t>See Concert  budget</t>
  </si>
  <si>
    <t>Ticket sales</t>
  </si>
  <si>
    <t>at 31 March 2016</t>
  </si>
  <si>
    <t>at 30 April 2016</t>
  </si>
  <si>
    <t>at 30 May 2016</t>
  </si>
  <si>
    <t>8 &amp; 10 July 2016</t>
  </si>
  <si>
    <t>Gail Jencick?</t>
  </si>
  <si>
    <t>shared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</si>
</sst>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/>
    <xf numFmtId="44" fontId="3" fillId="0" borderId="2" xfId="1" applyFont="1" applyBorder="1"/>
    <xf numFmtId="44" fontId="3" fillId="0" borderId="3" xfId="1" applyFont="1" applyBorder="1"/>
    <xf numFmtId="0" fontId="4" fillId="0" borderId="4" xfId="0" applyFont="1" applyBorder="1"/>
    <xf numFmtId="44" fontId="4" fillId="0" borderId="5" xfId="1" applyFont="1" applyBorder="1"/>
    <xf numFmtId="44" fontId="4" fillId="0" borderId="6" xfId="1" applyFont="1" applyBorder="1"/>
    <xf numFmtId="44" fontId="4" fillId="0" borderId="8" xfId="1" applyFont="1" applyBorder="1"/>
    <xf numFmtId="0" fontId="0" fillId="0" borderId="4" xfId="0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2" xfId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4" fontId="4" fillId="0" borderId="8" xfId="1" applyFont="1" applyBorder="1" applyAlignment="1">
      <alignment horizontal="left"/>
    </xf>
    <xf numFmtId="44" fontId="4" fillId="0" borderId="5" xfId="1" applyFont="1" applyBorder="1" applyAlignment="1">
      <alignment horizontal="left"/>
    </xf>
    <xf numFmtId="44" fontId="4" fillId="0" borderId="6" xfId="1" applyFont="1" applyBorder="1" applyAlignment="1">
      <alignment horizontal="left"/>
    </xf>
    <xf numFmtId="44" fontId="4" fillId="0" borderId="12" xfId="1" applyFont="1" applyBorder="1"/>
    <xf numFmtId="44" fontId="4" fillId="0" borderId="13" xfId="1" applyFont="1" applyBorder="1"/>
    <xf numFmtId="0" fontId="5" fillId="0" borderId="14" xfId="0" applyFont="1" applyBorder="1"/>
    <xf numFmtId="44" fontId="5" fillId="0" borderId="15" xfId="1" applyFont="1" applyBorder="1"/>
    <xf numFmtId="44" fontId="5" fillId="0" borderId="16" xfId="1" applyFont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44" fontId="0" fillId="0" borderId="0" xfId="1" applyFont="1"/>
    <xf numFmtId="0" fontId="2" fillId="0" borderId="11" xfId="0" applyFont="1" applyBorder="1" applyAlignment="1">
      <alignment horizontal="center"/>
    </xf>
    <xf numFmtId="44" fontId="0" fillId="0" borderId="17" xfId="1" applyFont="1" applyBorder="1"/>
    <xf numFmtId="0" fontId="6" fillId="0" borderId="0" xfId="0" applyFont="1" applyAlignment="1">
      <alignment horizontal="centerContinuous" wrapText="1"/>
    </xf>
    <xf numFmtId="44" fontId="4" fillId="2" borderId="5" xfId="1" applyFont="1" applyFill="1" applyBorder="1"/>
    <xf numFmtId="44" fontId="4" fillId="2" borderId="7" xfId="1" applyFont="1" applyFill="1" applyBorder="1"/>
    <xf numFmtId="44" fontId="0" fillId="2" borderId="10" xfId="1" applyFont="1" applyFill="1" applyBorder="1" applyAlignment="1">
      <alignment horizontal="right"/>
    </xf>
    <xf numFmtId="44" fontId="0" fillId="2" borderId="13" xfId="1" applyFont="1" applyFill="1" applyBorder="1" applyAlignment="1">
      <alignment horizontal="right"/>
    </xf>
    <xf numFmtId="44" fontId="4" fillId="2" borderId="7" xfId="1" applyFont="1" applyFill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 wrapText="1"/>
    </xf>
    <xf numFmtId="44" fontId="3" fillId="0" borderId="0" xfId="1" applyFont="1" applyFill="1" applyBorder="1" applyAlignment="1">
      <alignment horizontal="center" wrapText="1"/>
    </xf>
    <xf numFmtId="44" fontId="3" fillId="0" borderId="12" xfId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0" borderId="18" xfId="1" applyFont="1" applyBorder="1" applyAlignment="1">
      <alignment horizontal="center"/>
    </xf>
    <xf numFmtId="44" fontId="3" fillId="0" borderId="18" xfId="1" applyFont="1" applyFill="1" applyBorder="1" applyAlignment="1">
      <alignment horizontal="center" wrapText="1"/>
    </xf>
    <xf numFmtId="0" fontId="4" fillId="0" borderId="0" xfId="0" applyFont="1" applyBorder="1"/>
    <xf numFmtId="44" fontId="4" fillId="0" borderId="0" xfId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5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44" fontId="4" fillId="2" borderId="5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right"/>
    </xf>
    <xf numFmtId="44" fontId="0" fillId="0" borderId="9" xfId="1" applyFont="1" applyFill="1" applyBorder="1" applyAlignment="1">
      <alignment horizontal="right"/>
    </xf>
    <xf numFmtId="44" fontId="0" fillId="0" borderId="19" xfId="1" applyFont="1" applyBorder="1" applyAlignment="1">
      <alignment horizontal="right"/>
    </xf>
    <xf numFmtId="0" fontId="0" fillId="0" borderId="19" xfId="0" applyBorder="1" applyAlignment="1">
      <alignment wrapText="1"/>
    </xf>
    <xf numFmtId="44" fontId="4" fillId="2" borderId="10" xfId="1" applyFont="1" applyFill="1" applyBorder="1"/>
    <xf numFmtId="44" fontId="4" fillId="0" borderId="9" xfId="1" applyFont="1" applyFill="1" applyBorder="1"/>
    <xf numFmtId="44" fontId="4" fillId="0" borderId="12" xfId="1" applyFont="1" applyFill="1" applyBorder="1"/>
    <xf numFmtId="44" fontId="4" fillId="2" borderId="13" xfId="1" applyFont="1" applyFill="1" applyBorder="1"/>
    <xf numFmtId="0" fontId="9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44" fontId="4" fillId="0" borderId="7" xfId="1" applyFont="1" applyBorder="1"/>
    <xf numFmtId="0" fontId="11" fillId="0" borderId="4" xfId="0" applyFont="1" applyBorder="1" applyAlignment="1">
      <alignment horizontal="right"/>
    </xf>
    <xf numFmtId="44" fontId="4" fillId="0" borderId="9" xfId="1" applyFont="1" applyBorder="1"/>
    <xf numFmtId="0" fontId="0" fillId="0" borderId="0" xfId="0" applyAlignment="1">
      <alignment horizontal="left" vertical="center" indent="1"/>
    </xf>
    <xf numFmtId="0" fontId="0" fillId="0" borderId="18" xfId="0" applyBorder="1"/>
    <xf numFmtId="15" fontId="0" fillId="0" borderId="18" xfId="0" applyNumberFormat="1" applyBorder="1"/>
    <xf numFmtId="0" fontId="12" fillId="0" borderId="4" xfId="0" applyFont="1" applyBorder="1" applyAlignment="1">
      <alignment horizontal="left"/>
    </xf>
    <xf numFmtId="44" fontId="8" fillId="0" borderId="12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Font="1" applyFill="1" applyBorder="1" applyAlignment="1">
      <alignment horizontal="right"/>
    </xf>
    <xf numFmtId="44" fontId="0" fillId="2" borderId="0" xfId="0" applyNumberFormat="1" applyFill="1" applyAlignment="1">
      <alignment wrapText="1"/>
    </xf>
    <xf numFmtId="0" fontId="0" fillId="2" borderId="0" xfId="0" applyFill="1"/>
    <xf numFmtId="17" fontId="0" fillId="0" borderId="0" xfId="0" quotePrefix="1" applyNumberFormat="1"/>
    <xf numFmtId="0" fontId="2" fillId="0" borderId="0" xfId="0" applyFont="1"/>
    <xf numFmtId="44" fontId="2" fillId="0" borderId="0" xfId="1" applyFont="1"/>
    <xf numFmtId="17" fontId="0" fillId="0" borderId="18" xfId="0" quotePrefix="1" applyNumberFormat="1" applyBorder="1"/>
    <xf numFmtId="0" fontId="2" fillId="0" borderId="18" xfId="0" applyFont="1" applyBorder="1"/>
    <xf numFmtId="0" fontId="0" fillId="0" borderId="18" xfId="0" quotePrefix="1" applyBorder="1"/>
    <xf numFmtId="44" fontId="0" fillId="0" borderId="18" xfId="1" applyFont="1" applyBorder="1"/>
    <xf numFmtId="44" fontId="2" fillId="0" borderId="18" xfId="1" applyFont="1" applyBorder="1"/>
    <xf numFmtId="44" fontId="0" fillId="0" borderId="0" xfId="1" applyFont="1" applyAlignment="1">
      <alignment wrapText="1"/>
    </xf>
    <xf numFmtId="44" fontId="8" fillId="0" borderId="0" xfId="1" applyFont="1"/>
    <xf numFmtId="0" fontId="8" fillId="0" borderId="0" xfId="0" applyFont="1" applyAlignment="1">
      <alignment wrapText="1"/>
    </xf>
    <xf numFmtId="0" fontId="8" fillId="0" borderId="0" xfId="0" applyFont="1"/>
    <xf numFmtId="44" fontId="8" fillId="0" borderId="0" xfId="0" applyNumberFormat="1" applyFont="1"/>
    <xf numFmtId="44" fontId="0" fillId="0" borderId="20" xfId="1" applyFont="1" applyBorder="1"/>
    <xf numFmtId="44" fontId="0" fillId="0" borderId="20" xfId="1" applyFont="1" applyBorder="1" applyAlignment="1">
      <alignment wrapText="1"/>
    </xf>
    <xf numFmtId="0" fontId="16" fillId="0" borderId="0" xfId="0" applyFont="1" applyAlignment="1">
      <alignment horizontal="center"/>
    </xf>
    <xf numFmtId="0" fontId="8" fillId="2" borderId="0" xfId="0" applyFont="1" applyFill="1"/>
    <xf numFmtId="44" fontId="17" fillId="0" borderId="16" xfId="1" applyFont="1" applyBorder="1"/>
    <xf numFmtId="0" fontId="8" fillId="0" borderId="0" xfId="0" applyFont="1" applyBorder="1"/>
    <xf numFmtId="0" fontId="0" fillId="0" borderId="0" xfId="0" applyAlignment="1">
      <alignment horizontal="right"/>
    </xf>
    <xf numFmtId="44" fontId="8" fillId="0" borderId="20" xfId="1" applyFont="1" applyBorder="1"/>
    <xf numFmtId="44" fontId="0" fillId="3" borderId="18" xfId="1" applyFont="1" applyFill="1" applyBorder="1"/>
    <xf numFmtId="44" fontId="0" fillId="4" borderId="18" xfId="1" applyFont="1" applyFill="1" applyBorder="1"/>
    <xf numFmtId="44" fontId="0" fillId="5" borderId="18" xfId="1" applyFont="1" applyFill="1" applyBorder="1"/>
    <xf numFmtId="15" fontId="0" fillId="0" borderId="18" xfId="0" quotePrefix="1" applyNumberForma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4" fontId="0" fillId="0" borderId="23" xfId="1" applyFont="1" applyBorder="1"/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44" fontId="8" fillId="0" borderId="4" xfId="1" applyFont="1" applyBorder="1" applyAlignment="1">
      <alignment wrapText="1"/>
    </xf>
    <xf numFmtId="44" fontId="1" fillId="0" borderId="27" xfId="1" applyFont="1" applyBorder="1" applyAlignment="1">
      <alignment wrapText="1"/>
    </xf>
    <xf numFmtId="44" fontId="1" fillId="0" borderId="0" xfId="1" applyFont="1"/>
    <xf numFmtId="44" fontId="1" fillId="0" borderId="4" xfId="1" applyFont="1" applyBorder="1" applyAlignment="1">
      <alignment wrapText="1"/>
    </xf>
    <xf numFmtId="44" fontId="0" fillId="0" borderId="0" xfId="1" quotePrefix="1" applyFont="1"/>
    <xf numFmtId="0" fontId="2" fillId="0" borderId="0" xfId="0" applyFont="1" applyAlignment="1">
      <alignment horizontal="center"/>
    </xf>
    <xf numFmtId="44" fontId="8" fillId="0" borderId="12" xfId="1" applyFont="1" applyBorder="1" applyAlignment="1">
      <alignment horizontal="right"/>
    </xf>
    <xf numFmtId="44" fontId="4" fillId="5" borderId="9" xfId="1" applyFont="1" applyFill="1" applyBorder="1"/>
    <xf numFmtId="44" fontId="4" fillId="5" borderId="12" xfId="1" applyFont="1" applyFill="1" applyBorder="1"/>
    <xf numFmtId="0" fontId="8" fillId="0" borderId="4" xfId="0" applyFont="1" applyBorder="1" applyAlignment="1">
      <alignment horizontal="right"/>
    </xf>
    <xf numFmtId="0" fontId="15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A19" workbookViewId="0">
      <selection activeCell="H8" sqref="H8"/>
    </sheetView>
  </sheetViews>
  <sheetFormatPr defaultColWidth="8.7109375" defaultRowHeight="15" x14ac:dyDescent="0.25"/>
  <cols>
    <col min="1" max="1" width="36" customWidth="1"/>
    <col min="2" max="2" width="15.42578125" hidden="1" customWidth="1"/>
    <col min="3" max="3" width="16.140625" hidden="1" customWidth="1"/>
    <col min="4" max="4" width="38.42578125" style="32" hidden="1" customWidth="1"/>
    <col min="5" max="5" width="15.42578125" bestFit="1" customWidth="1"/>
    <col min="6" max="6" width="16.140625" customWidth="1"/>
    <col min="7" max="7" width="34.42578125" style="32" customWidth="1"/>
    <col min="8" max="8" width="15.42578125" bestFit="1" customWidth="1"/>
    <col min="9" max="9" width="16.140625" customWidth="1"/>
    <col min="10" max="10" width="33" style="32" customWidth="1"/>
  </cols>
  <sheetData>
    <row r="1" spans="1:10" ht="18.75" x14ac:dyDescent="0.3">
      <c r="A1" s="34" t="s">
        <v>0</v>
      </c>
    </row>
    <row r="2" spans="1:10" ht="18.75" x14ac:dyDescent="0.3">
      <c r="A2" s="34" t="s">
        <v>100</v>
      </c>
    </row>
    <row r="4" spans="1:10" ht="24" thickBot="1" x14ac:dyDescent="0.4">
      <c r="B4" s="26" t="s">
        <v>42</v>
      </c>
      <c r="C4" s="22"/>
      <c r="D4" s="26"/>
      <c r="E4" s="119" t="s">
        <v>212</v>
      </c>
      <c r="F4" s="119"/>
      <c r="G4" s="119"/>
      <c r="H4" s="119" t="s">
        <v>213</v>
      </c>
      <c r="I4" s="119" t="s">
        <v>101</v>
      </c>
      <c r="J4" s="119"/>
    </row>
    <row r="5" spans="1:10" ht="15.75" x14ac:dyDescent="0.25">
      <c r="A5" s="1"/>
      <c r="B5" s="42" t="s">
        <v>43</v>
      </c>
      <c r="C5" s="43" t="s">
        <v>1</v>
      </c>
      <c r="D5" s="44" t="s">
        <v>51</v>
      </c>
      <c r="E5" s="42" t="s">
        <v>43</v>
      </c>
      <c r="F5" s="43" t="s">
        <v>1</v>
      </c>
      <c r="G5" s="45" t="s">
        <v>214</v>
      </c>
      <c r="H5" s="42" t="s">
        <v>43</v>
      </c>
      <c r="I5" s="43" t="s">
        <v>1</v>
      </c>
      <c r="J5" s="45" t="s">
        <v>215</v>
      </c>
    </row>
    <row r="6" spans="1:10" ht="18.75" x14ac:dyDescent="0.3">
      <c r="A6" s="40" t="s">
        <v>2</v>
      </c>
      <c r="B6" s="38"/>
      <c r="C6" s="39"/>
      <c r="D6" s="39"/>
      <c r="E6" s="38"/>
      <c r="F6" s="39"/>
      <c r="G6" s="37"/>
      <c r="H6" s="38"/>
      <c r="I6" s="39"/>
      <c r="J6" s="37"/>
    </row>
    <row r="7" spans="1:10" ht="15.75" x14ac:dyDescent="0.25">
      <c r="A7" s="4" t="s">
        <v>3</v>
      </c>
      <c r="B7" s="27"/>
      <c r="C7" s="6">
        <v>20565.97</v>
      </c>
      <c r="D7" s="32" t="s">
        <v>44</v>
      </c>
      <c r="E7" s="28"/>
      <c r="F7" s="7">
        <f>SUM(E8:E9)</f>
        <v>40866.61</v>
      </c>
      <c r="H7" s="28"/>
      <c r="I7" s="7">
        <f>SUM(H8:H9)</f>
        <v>15000</v>
      </c>
    </row>
    <row r="8" spans="1:10" ht="15.75" x14ac:dyDescent="0.25">
      <c r="A8" s="64" t="s">
        <v>89</v>
      </c>
      <c r="B8" s="28"/>
      <c r="C8" s="7"/>
      <c r="E8" s="62">
        <f>2309.55+678+1181+320+2242.7+454.2+435+6440.65</f>
        <v>14061.099999999999</v>
      </c>
      <c r="F8" s="63"/>
      <c r="H8" s="117">
        <v>15000</v>
      </c>
      <c r="I8" s="63"/>
      <c r="J8" s="32" t="s">
        <v>222</v>
      </c>
    </row>
    <row r="9" spans="1:10" ht="15.75" x14ac:dyDescent="0.25">
      <c r="A9" s="64" t="s">
        <v>88</v>
      </c>
      <c r="B9" s="28"/>
      <c r="C9" s="7"/>
      <c r="E9" s="61">
        <f>835+1225+7543+1620+14142.51+1440</f>
        <v>26805.510000000002</v>
      </c>
      <c r="F9" s="60"/>
      <c r="H9" s="116"/>
      <c r="I9" s="60"/>
      <c r="J9" s="32" t="s">
        <v>221</v>
      </c>
    </row>
    <row r="10" spans="1:10" ht="15.75" x14ac:dyDescent="0.25">
      <c r="A10" s="4" t="s">
        <v>4</v>
      </c>
      <c r="B10" s="28"/>
      <c r="C10" s="7">
        <v>4990.8500000000004</v>
      </c>
      <c r="E10" s="28"/>
      <c r="F10" s="7">
        <v>0</v>
      </c>
      <c r="H10" s="28"/>
      <c r="I10" s="7">
        <f>SUM(H11)</f>
        <v>0</v>
      </c>
    </row>
    <row r="11" spans="1:10" ht="15" customHeight="1" x14ac:dyDescent="0.25">
      <c r="A11" s="64" t="s">
        <v>5</v>
      </c>
      <c r="B11" s="9">
        <v>4990.8500000000004</v>
      </c>
      <c r="C11" s="29"/>
      <c r="D11" s="32" t="s">
        <v>45</v>
      </c>
      <c r="E11" s="9">
        <v>0</v>
      </c>
      <c r="F11" s="29"/>
      <c r="H11" s="57">
        <v>0</v>
      </c>
      <c r="I11" s="29"/>
      <c r="J11" s="32" t="s">
        <v>223</v>
      </c>
    </row>
    <row r="12" spans="1:10" ht="15.75" x14ac:dyDescent="0.25">
      <c r="A12" s="4" t="s">
        <v>6</v>
      </c>
      <c r="B12" s="28"/>
      <c r="C12" s="7">
        <v>13822.440000000002</v>
      </c>
      <c r="E12" s="28"/>
      <c r="F12" s="7">
        <f>SUM(E13:E16)</f>
        <v>3502.21</v>
      </c>
      <c r="H12" s="28"/>
      <c r="I12" s="7">
        <f>SUM(H13:H16)</f>
        <v>2200</v>
      </c>
    </row>
    <row r="13" spans="1:10" ht="45" x14ac:dyDescent="0.25">
      <c r="A13" s="64" t="s">
        <v>7</v>
      </c>
      <c r="B13" s="10">
        <v>7388.67</v>
      </c>
      <c r="C13" s="30"/>
      <c r="D13" s="32" t="s">
        <v>46</v>
      </c>
      <c r="E13" s="10">
        <v>779.15</v>
      </c>
      <c r="F13" s="30"/>
      <c r="H13" s="10">
        <v>0</v>
      </c>
      <c r="I13" s="30"/>
      <c r="J13" s="32" t="s">
        <v>224</v>
      </c>
    </row>
    <row r="14" spans="1:10" ht="30" x14ac:dyDescent="0.25">
      <c r="A14" s="64" t="s">
        <v>96</v>
      </c>
      <c r="B14" s="10">
        <v>548.04999999999995</v>
      </c>
      <c r="C14" s="30"/>
      <c r="E14" s="10">
        <v>60</v>
      </c>
      <c r="F14" s="30"/>
      <c r="H14" s="10">
        <v>0</v>
      </c>
      <c r="I14" s="30"/>
      <c r="J14" s="32" t="s">
        <v>225</v>
      </c>
    </row>
    <row r="15" spans="1:10" x14ac:dyDescent="0.25">
      <c r="A15" s="65" t="s">
        <v>105</v>
      </c>
      <c r="B15" s="10"/>
      <c r="C15" s="30"/>
      <c r="E15" s="10">
        <v>1348.54</v>
      </c>
      <c r="F15" s="30"/>
      <c r="G15" s="32" t="s">
        <v>153</v>
      </c>
      <c r="H15" s="56">
        <v>1200</v>
      </c>
      <c r="I15" s="30"/>
      <c r="J15" s="32" t="s">
        <v>226</v>
      </c>
    </row>
    <row r="16" spans="1:10" ht="18" customHeight="1" x14ac:dyDescent="0.25">
      <c r="A16" s="65" t="s">
        <v>9</v>
      </c>
      <c r="B16" s="9">
        <v>5885.7200000000012</v>
      </c>
      <c r="C16" s="29"/>
      <c r="D16" s="32" t="s">
        <v>47</v>
      </c>
      <c r="E16" s="9">
        <v>1314.52</v>
      </c>
      <c r="F16" s="29"/>
      <c r="G16" s="32" t="s">
        <v>219</v>
      </c>
      <c r="H16" s="57">
        <v>1000</v>
      </c>
      <c r="I16" s="29"/>
      <c r="J16" s="32" t="s">
        <v>227</v>
      </c>
    </row>
    <row r="17" spans="1:10" ht="15.75" x14ac:dyDescent="0.25">
      <c r="A17" s="72" t="s">
        <v>10</v>
      </c>
      <c r="B17" s="31"/>
      <c r="C17" s="12">
        <v>38041.870000000003</v>
      </c>
      <c r="D17" s="33"/>
      <c r="E17" s="31"/>
      <c r="F17" s="12">
        <f>SUM(E18:E20)</f>
        <v>33213.040000000001</v>
      </c>
      <c r="H17" s="31"/>
      <c r="I17" s="12">
        <f>SUM(H18:H20)</f>
        <v>31860</v>
      </c>
    </row>
    <row r="18" spans="1:10" ht="30" x14ac:dyDescent="0.25">
      <c r="A18" s="65" t="s">
        <v>11</v>
      </c>
      <c r="B18" s="10">
        <v>33653.07</v>
      </c>
      <c r="C18" s="30"/>
      <c r="E18" s="10">
        <v>32321.040000000001</v>
      </c>
      <c r="F18" s="30"/>
      <c r="G18" s="33"/>
      <c r="H18" s="115">
        <f>53*600+35+25</f>
        <v>31860</v>
      </c>
      <c r="I18" s="30"/>
      <c r="J18" s="33" t="s">
        <v>228</v>
      </c>
    </row>
    <row r="19" spans="1:10" x14ac:dyDescent="0.25">
      <c r="A19" s="65" t="s">
        <v>97</v>
      </c>
      <c r="B19" s="10"/>
      <c r="C19" s="30"/>
      <c r="E19" s="10">
        <v>742</v>
      </c>
      <c r="F19" s="30"/>
      <c r="G19" s="33"/>
      <c r="H19" s="10">
        <v>0</v>
      </c>
      <c r="I19" s="30"/>
      <c r="J19" s="33" t="s">
        <v>229</v>
      </c>
    </row>
    <row r="20" spans="1:10" x14ac:dyDescent="0.25">
      <c r="A20" s="65" t="s">
        <v>98</v>
      </c>
      <c r="B20" s="10"/>
      <c r="C20" s="30"/>
      <c r="E20" s="10">
        <v>150</v>
      </c>
      <c r="F20" s="30"/>
      <c r="G20" s="33"/>
      <c r="H20" s="10">
        <v>0</v>
      </c>
      <c r="I20" s="30"/>
      <c r="J20" s="33" t="s">
        <v>230</v>
      </c>
    </row>
    <row r="21" spans="1:10" ht="15.75" x14ac:dyDescent="0.25">
      <c r="A21" s="11" t="s">
        <v>12</v>
      </c>
      <c r="B21" s="13"/>
      <c r="C21" s="14">
        <v>3150</v>
      </c>
      <c r="E21" s="55"/>
      <c r="F21" s="14">
        <v>2600</v>
      </c>
      <c r="H21" s="55"/>
      <c r="I21" s="14">
        <v>2500</v>
      </c>
      <c r="J21" s="32" t="s">
        <v>227</v>
      </c>
    </row>
    <row r="22" spans="1:10" ht="15.75" x14ac:dyDescent="0.25">
      <c r="A22" s="4"/>
      <c r="B22" s="15"/>
      <c r="C22" s="16"/>
      <c r="E22" s="15"/>
      <c r="F22" s="16"/>
      <c r="H22" s="15"/>
      <c r="I22" s="16"/>
    </row>
    <row r="23" spans="1:10" ht="16.5" thickBot="1" x14ac:dyDescent="0.3">
      <c r="A23" s="17" t="s">
        <v>13</v>
      </c>
      <c r="B23" s="18"/>
      <c r="C23" s="19">
        <v>80571.13</v>
      </c>
      <c r="E23" s="18"/>
      <c r="F23" s="19">
        <f>SUM(F7:F22)</f>
        <v>80181.86</v>
      </c>
      <c r="H23" s="18"/>
      <c r="I23" s="19">
        <f>SUM(I7:I22)</f>
        <v>51560</v>
      </c>
    </row>
    <row r="24" spans="1:10" s="49" customFormat="1" ht="16.5" thickBot="1" x14ac:dyDescent="0.3">
      <c r="A24" s="46"/>
      <c r="B24" s="47"/>
      <c r="C24" s="47"/>
      <c r="D24" s="48"/>
      <c r="E24" s="47"/>
      <c r="F24" s="47"/>
      <c r="G24" s="48"/>
      <c r="H24" s="47"/>
      <c r="I24" s="47"/>
      <c r="J24" s="48"/>
    </row>
    <row r="25" spans="1:10" ht="18.75" x14ac:dyDescent="0.3">
      <c r="A25" s="41" t="s">
        <v>14</v>
      </c>
      <c r="B25" s="2"/>
      <c r="C25" s="3"/>
      <c r="E25" s="2"/>
      <c r="F25" s="3"/>
      <c r="H25" s="2"/>
      <c r="I25" s="3"/>
    </row>
    <row r="26" spans="1:10" ht="15.75" x14ac:dyDescent="0.25">
      <c r="A26" s="4" t="s">
        <v>15</v>
      </c>
      <c r="B26" s="28"/>
      <c r="C26" s="7">
        <v>251</v>
      </c>
      <c r="E26" s="28"/>
      <c r="F26" s="7">
        <f>SUM(E27:E29)</f>
        <v>151.99</v>
      </c>
      <c r="H26" s="28"/>
      <c r="I26" s="7">
        <f>SUM(H27:H29)</f>
        <v>155</v>
      </c>
    </row>
    <row r="27" spans="1:10" x14ac:dyDescent="0.25">
      <c r="A27" s="64" t="s">
        <v>16</v>
      </c>
      <c r="B27" s="10">
        <v>53.5</v>
      </c>
      <c r="C27" s="30"/>
      <c r="E27" s="10">
        <v>72.989999999999995</v>
      </c>
      <c r="F27" s="30"/>
      <c r="H27" s="10">
        <v>75</v>
      </c>
      <c r="I27" s="30"/>
      <c r="J27" s="32" t="s">
        <v>227</v>
      </c>
    </row>
    <row r="28" spans="1:10" x14ac:dyDescent="0.25">
      <c r="A28" s="64" t="s">
        <v>17</v>
      </c>
      <c r="B28" s="10">
        <v>118.06</v>
      </c>
      <c r="C28" s="30"/>
      <c r="E28" s="10">
        <v>79</v>
      </c>
      <c r="F28" s="30"/>
      <c r="H28" s="10">
        <v>80</v>
      </c>
      <c r="I28" s="30"/>
      <c r="J28" s="32" t="s">
        <v>227</v>
      </c>
    </row>
    <row r="29" spans="1:10" x14ac:dyDescent="0.25">
      <c r="A29" s="64" t="s">
        <v>18</v>
      </c>
      <c r="B29" s="9">
        <v>79.44</v>
      </c>
      <c r="C29" s="29"/>
      <c r="E29" s="9">
        <v>0</v>
      </c>
      <c r="F29" s="29"/>
      <c r="H29" s="9">
        <v>0</v>
      </c>
      <c r="I29" s="29"/>
    </row>
    <row r="30" spans="1:10" ht="15.75" x14ac:dyDescent="0.25">
      <c r="A30" s="4" t="s">
        <v>19</v>
      </c>
      <c r="B30" s="5"/>
      <c r="C30" s="6">
        <v>8041.17</v>
      </c>
      <c r="E30" s="28"/>
      <c r="F30" s="7">
        <f>SUM(E31:E32)</f>
        <v>18323.310000000001</v>
      </c>
      <c r="H30" s="28"/>
      <c r="I30" s="7">
        <f>SUM(H31:H32)</f>
        <v>0</v>
      </c>
    </row>
    <row r="31" spans="1:10" ht="15.75" x14ac:dyDescent="0.25">
      <c r="A31" s="67" t="s">
        <v>89</v>
      </c>
      <c r="B31" s="66"/>
      <c r="C31" s="7"/>
      <c r="E31" s="15">
        <f>605.24+143.44+1167.5</f>
        <v>1916.18</v>
      </c>
      <c r="F31" s="63"/>
      <c r="H31" s="117"/>
      <c r="I31" s="63"/>
      <c r="J31" s="32" t="s">
        <v>222</v>
      </c>
    </row>
    <row r="32" spans="1:10" ht="15.75" x14ac:dyDescent="0.25">
      <c r="A32" s="67" t="s">
        <v>88</v>
      </c>
      <c r="B32" s="66"/>
      <c r="C32" s="7"/>
      <c r="E32" s="68">
        <f>440+471.5+910+8849+1674.25+4004.61+57.77</f>
        <v>16407.13</v>
      </c>
      <c r="F32" s="60"/>
      <c r="H32" s="116"/>
      <c r="I32" s="60"/>
      <c r="J32" s="32" t="s">
        <v>231</v>
      </c>
    </row>
    <row r="33" spans="1:10" ht="15.75" x14ac:dyDescent="0.25">
      <c r="A33" s="4" t="s">
        <v>20</v>
      </c>
      <c r="B33" s="28"/>
      <c r="C33" s="7">
        <v>6539.1099999999869</v>
      </c>
      <c r="E33" s="28"/>
      <c r="F33" s="7">
        <f>SUM(E34:E38)</f>
        <v>1667.21</v>
      </c>
      <c r="H33" s="28"/>
      <c r="I33" s="7">
        <f>SUM(H34:H38)</f>
        <v>1050</v>
      </c>
    </row>
    <row r="34" spans="1:10" x14ac:dyDescent="0.25">
      <c r="A34" s="64" t="s">
        <v>21</v>
      </c>
      <c r="B34" s="10">
        <v>1524.03</v>
      </c>
      <c r="C34" s="30"/>
      <c r="E34" s="10">
        <v>701.3</v>
      </c>
      <c r="F34" s="30"/>
      <c r="H34" s="10">
        <v>700</v>
      </c>
      <c r="I34" s="30"/>
      <c r="J34" s="32" t="s">
        <v>227</v>
      </c>
    </row>
    <row r="35" spans="1:10" x14ac:dyDescent="0.25">
      <c r="A35" s="64" t="s">
        <v>99</v>
      </c>
      <c r="B35" s="10"/>
      <c r="C35" s="30"/>
      <c r="E35" s="10">
        <v>0</v>
      </c>
      <c r="F35" s="30"/>
      <c r="H35" s="10">
        <v>0</v>
      </c>
      <c r="I35" s="30"/>
      <c r="J35" s="32" t="s">
        <v>227</v>
      </c>
    </row>
    <row r="36" spans="1:10" x14ac:dyDescent="0.25">
      <c r="A36" s="64" t="s">
        <v>216</v>
      </c>
      <c r="B36" s="10"/>
      <c r="C36" s="30"/>
      <c r="E36" s="10">
        <v>610</v>
      </c>
      <c r="F36" s="30"/>
      <c r="G36" s="32" t="s">
        <v>217</v>
      </c>
      <c r="H36" s="10">
        <v>0</v>
      </c>
      <c r="I36" s="30"/>
      <c r="J36" s="32" t="s">
        <v>224</v>
      </c>
    </row>
    <row r="37" spans="1:10" x14ac:dyDescent="0.25">
      <c r="A37" s="64" t="s">
        <v>106</v>
      </c>
      <c r="B37" s="10"/>
      <c r="C37" s="30"/>
      <c r="E37" s="10">
        <v>1.5</v>
      </c>
      <c r="F37" s="30"/>
      <c r="H37" s="10">
        <v>0</v>
      </c>
      <c r="I37" s="30"/>
      <c r="J37" s="32" t="s">
        <v>227</v>
      </c>
    </row>
    <row r="38" spans="1:10" ht="18" customHeight="1" x14ac:dyDescent="0.25">
      <c r="A38" s="64" t="s">
        <v>22</v>
      </c>
      <c r="B38" s="9">
        <v>5015.0799999999872</v>
      </c>
      <c r="C38" s="29"/>
      <c r="D38" s="32" t="s">
        <v>49</v>
      </c>
      <c r="E38" s="9">
        <v>354.41</v>
      </c>
      <c r="F38" s="29"/>
      <c r="G38" s="32" t="s">
        <v>218</v>
      </c>
      <c r="H38" s="9">
        <v>350</v>
      </c>
      <c r="I38" s="29"/>
      <c r="J38" s="32" t="s">
        <v>227</v>
      </c>
    </row>
    <row r="39" spans="1:10" ht="15.75" x14ac:dyDescent="0.25">
      <c r="A39" s="4" t="s">
        <v>23</v>
      </c>
      <c r="B39" s="28"/>
      <c r="C39" s="7">
        <v>58794.079999999994</v>
      </c>
      <c r="E39" s="28"/>
      <c r="F39" s="7">
        <f>SUM(E40:E55)</f>
        <v>30691.98</v>
      </c>
      <c r="H39" s="28"/>
      <c r="I39" s="7">
        <f>SUM(H40:H55)</f>
        <v>23550</v>
      </c>
    </row>
    <row r="40" spans="1:10" x14ac:dyDescent="0.25">
      <c r="A40" s="64" t="s">
        <v>24</v>
      </c>
      <c r="B40" s="10">
        <v>200</v>
      </c>
      <c r="C40" s="30"/>
      <c r="E40" s="115">
        <v>1147.8800000000001</v>
      </c>
      <c r="F40" s="30"/>
      <c r="G40" s="56"/>
      <c r="H40" s="56">
        <v>1200</v>
      </c>
      <c r="I40" s="30"/>
      <c r="J40" s="32" t="s">
        <v>227</v>
      </c>
    </row>
    <row r="41" spans="1:10" x14ac:dyDescent="0.25">
      <c r="A41" s="65" t="s">
        <v>90</v>
      </c>
      <c r="B41" s="10"/>
      <c r="C41" s="30"/>
      <c r="E41" s="115">
        <v>764.78</v>
      </c>
      <c r="F41" s="30"/>
      <c r="G41" s="56"/>
      <c r="H41" s="10">
        <v>800</v>
      </c>
      <c r="I41" s="30"/>
      <c r="J41" s="32" t="s">
        <v>227</v>
      </c>
    </row>
    <row r="42" spans="1:10" ht="13.9" customHeight="1" x14ac:dyDescent="0.25">
      <c r="A42" s="64" t="s">
        <v>25</v>
      </c>
      <c r="B42" s="10">
        <v>29154.79</v>
      </c>
      <c r="C42" s="30"/>
      <c r="D42" s="32" t="s">
        <v>50</v>
      </c>
      <c r="E42" s="115">
        <v>438.02</v>
      </c>
      <c r="F42" s="30"/>
      <c r="H42" s="10">
        <v>500</v>
      </c>
      <c r="I42" s="30"/>
      <c r="J42" s="32" t="s">
        <v>227</v>
      </c>
    </row>
    <row r="43" spans="1:10" ht="13.9" customHeight="1" x14ac:dyDescent="0.25">
      <c r="A43" s="64" t="s">
        <v>26</v>
      </c>
      <c r="B43" s="10"/>
      <c r="C43" s="30"/>
      <c r="E43" s="115">
        <v>1038.95</v>
      </c>
      <c r="F43" s="30"/>
      <c r="G43" s="32" t="s">
        <v>220</v>
      </c>
      <c r="H43" s="10">
        <v>1100</v>
      </c>
      <c r="I43" s="30"/>
      <c r="J43" s="32" t="s">
        <v>227</v>
      </c>
    </row>
    <row r="44" spans="1:10" ht="13.9" customHeight="1" x14ac:dyDescent="0.25">
      <c r="A44" s="64" t="s">
        <v>166</v>
      </c>
      <c r="B44" s="10"/>
      <c r="C44" s="30"/>
      <c r="E44" s="115">
        <v>52.98</v>
      </c>
      <c r="F44" s="30"/>
      <c r="H44" s="10">
        <v>0</v>
      </c>
      <c r="I44" s="30"/>
      <c r="J44" s="32" t="s">
        <v>227</v>
      </c>
    </row>
    <row r="45" spans="1:10" x14ac:dyDescent="0.25">
      <c r="A45" s="64" t="s">
        <v>27</v>
      </c>
      <c r="B45" s="10">
        <v>9919.06</v>
      </c>
      <c r="C45" s="30"/>
      <c r="E45" s="10">
        <v>7786.85</v>
      </c>
      <c r="F45" s="30"/>
      <c r="G45" s="10"/>
      <c r="H45" s="10">
        <v>0</v>
      </c>
      <c r="I45" s="30"/>
      <c r="J45" s="32" t="s">
        <v>232</v>
      </c>
    </row>
    <row r="46" spans="1:10" x14ac:dyDescent="0.25">
      <c r="A46" s="64" t="s">
        <v>28</v>
      </c>
      <c r="B46" s="10">
        <v>11116.619999999999</v>
      </c>
      <c r="C46" s="30"/>
      <c r="E46" s="10">
        <v>10807.13</v>
      </c>
      <c r="F46" s="30"/>
      <c r="G46" s="10"/>
      <c r="H46" s="10">
        <v>11000</v>
      </c>
      <c r="I46" s="30"/>
      <c r="J46" s="32" t="s">
        <v>227</v>
      </c>
    </row>
    <row r="47" spans="1:10" x14ac:dyDescent="0.25">
      <c r="A47" s="64" t="s">
        <v>86</v>
      </c>
      <c r="B47" s="10"/>
      <c r="C47" s="30"/>
      <c r="E47" s="10">
        <v>0</v>
      </c>
      <c r="F47" s="30"/>
      <c r="G47" s="10"/>
      <c r="H47" s="56">
        <v>0</v>
      </c>
      <c r="I47" s="30"/>
      <c r="J47" s="32" t="s">
        <v>227</v>
      </c>
    </row>
    <row r="48" spans="1:10" x14ac:dyDescent="0.25">
      <c r="A48" s="64" t="s">
        <v>108</v>
      </c>
      <c r="B48" s="10"/>
      <c r="C48" s="30"/>
      <c r="E48" s="10">
        <v>87.97</v>
      </c>
      <c r="F48" s="30"/>
      <c r="G48" s="10"/>
      <c r="H48" s="56">
        <v>100</v>
      </c>
      <c r="I48" s="30"/>
      <c r="J48" s="32" t="s">
        <v>227</v>
      </c>
    </row>
    <row r="49" spans="1:10" x14ac:dyDescent="0.25">
      <c r="A49" s="64" t="s">
        <v>109</v>
      </c>
      <c r="B49" s="10">
        <v>535.54999999999995</v>
      </c>
      <c r="C49" s="30"/>
      <c r="E49" s="10">
        <v>709.62</v>
      </c>
      <c r="F49" s="30"/>
      <c r="G49" s="10"/>
      <c r="H49" s="73">
        <v>800</v>
      </c>
      <c r="I49" s="30"/>
      <c r="J49" s="32" t="s">
        <v>227</v>
      </c>
    </row>
    <row r="50" spans="1:10" x14ac:dyDescent="0.25">
      <c r="A50" s="64" t="s">
        <v>110</v>
      </c>
      <c r="B50" s="10">
        <v>282.29000000000002</v>
      </c>
      <c r="C50" s="30"/>
      <c r="E50" s="10">
        <v>275</v>
      </c>
      <c r="F50" s="30"/>
      <c r="G50" s="10"/>
      <c r="H50" s="56">
        <v>300</v>
      </c>
      <c r="I50" s="30"/>
      <c r="J50" s="32" t="s">
        <v>227</v>
      </c>
    </row>
    <row r="51" spans="1:10" x14ac:dyDescent="0.25">
      <c r="A51" s="64" t="s">
        <v>185</v>
      </c>
      <c r="B51" s="10"/>
      <c r="C51" s="30"/>
      <c r="E51" s="10">
        <v>250.34</v>
      </c>
      <c r="F51" s="30"/>
      <c r="G51" s="10"/>
      <c r="H51" s="56">
        <v>250</v>
      </c>
      <c r="I51" s="30"/>
      <c r="J51" s="32" t="s">
        <v>227</v>
      </c>
    </row>
    <row r="52" spans="1:10" x14ac:dyDescent="0.25">
      <c r="A52" s="64" t="s">
        <v>29</v>
      </c>
      <c r="B52" s="10">
        <v>40</v>
      </c>
      <c r="C52" s="30"/>
      <c r="E52" s="10">
        <v>7290</v>
      </c>
      <c r="F52" s="30"/>
      <c r="G52" s="10"/>
      <c r="H52" s="56">
        <v>7500</v>
      </c>
      <c r="I52" s="30"/>
      <c r="J52" s="32" t="s">
        <v>227</v>
      </c>
    </row>
    <row r="53" spans="1:10" x14ac:dyDescent="0.25">
      <c r="A53" s="64" t="s">
        <v>30</v>
      </c>
      <c r="B53" s="10">
        <v>87.649999999999991</v>
      </c>
      <c r="C53" s="30"/>
      <c r="E53" s="10">
        <v>0</v>
      </c>
      <c r="F53" s="30"/>
      <c r="G53" s="10"/>
      <c r="H53" s="10">
        <v>0</v>
      </c>
      <c r="I53" s="30"/>
      <c r="J53" s="32" t="s">
        <v>227</v>
      </c>
    </row>
    <row r="54" spans="1:10" x14ac:dyDescent="0.25">
      <c r="A54" s="64" t="s">
        <v>31</v>
      </c>
      <c r="B54" s="10"/>
      <c r="C54" s="30"/>
      <c r="E54" s="10">
        <v>42.46</v>
      </c>
      <c r="F54" s="30"/>
      <c r="G54" s="10"/>
      <c r="H54" s="10">
        <v>0</v>
      </c>
      <c r="I54" s="30"/>
      <c r="J54" s="32" t="s">
        <v>227</v>
      </c>
    </row>
    <row r="55" spans="1:10" x14ac:dyDescent="0.25">
      <c r="A55" s="64" t="s">
        <v>107</v>
      </c>
      <c r="B55" s="9">
        <v>450.79</v>
      </c>
      <c r="C55" s="29"/>
      <c r="E55" s="57">
        <v>0</v>
      </c>
      <c r="F55" s="29"/>
      <c r="G55" s="58"/>
      <c r="H55" s="9">
        <v>0</v>
      </c>
      <c r="I55" s="29"/>
      <c r="J55" s="32" t="s">
        <v>227</v>
      </c>
    </row>
    <row r="56" spans="1:10" ht="15.75" x14ac:dyDescent="0.25">
      <c r="A56" s="4" t="s">
        <v>32</v>
      </c>
      <c r="B56" s="28"/>
      <c r="C56" s="7">
        <v>19984.3</v>
      </c>
      <c r="E56" s="28"/>
      <c r="F56" s="7">
        <f>SUM(E57:E61)</f>
        <v>19193.519999999997</v>
      </c>
      <c r="G56" s="59"/>
      <c r="H56" s="28"/>
      <c r="I56" s="7">
        <f>SUM(H57:H61)</f>
        <v>21999</v>
      </c>
    </row>
    <row r="57" spans="1:10" x14ac:dyDescent="0.25">
      <c r="A57" s="64" t="s">
        <v>33</v>
      </c>
      <c r="B57" s="10">
        <v>9199.5299999999988</v>
      </c>
      <c r="C57" s="30"/>
      <c r="D57" s="32" t="s">
        <v>52</v>
      </c>
      <c r="E57" s="10">
        <v>7612.18</v>
      </c>
      <c r="F57" s="30"/>
      <c r="H57" s="10">
        <v>7700</v>
      </c>
      <c r="I57" s="30"/>
    </row>
    <row r="58" spans="1:10" ht="45" x14ac:dyDescent="0.25">
      <c r="A58" s="64" t="s">
        <v>95</v>
      </c>
      <c r="B58" s="10"/>
      <c r="C58" s="30"/>
      <c r="E58" s="10">
        <v>2340.62</v>
      </c>
      <c r="F58" s="30"/>
      <c r="H58" s="10">
        <v>2500</v>
      </c>
      <c r="I58" s="30"/>
      <c r="J58" s="32" t="s">
        <v>255</v>
      </c>
    </row>
    <row r="59" spans="1:10" x14ac:dyDescent="0.25">
      <c r="A59" s="64" t="s">
        <v>34</v>
      </c>
      <c r="B59" s="10">
        <v>6959.02</v>
      </c>
      <c r="C59" s="30"/>
      <c r="D59" s="32" t="s">
        <v>53</v>
      </c>
      <c r="E59" s="10">
        <v>4977.84</v>
      </c>
      <c r="F59" s="30"/>
      <c r="H59" s="115">
        <f>57*140</f>
        <v>7980</v>
      </c>
      <c r="I59" s="30"/>
      <c r="J59" s="32" t="s">
        <v>233</v>
      </c>
    </row>
    <row r="60" spans="1:10" x14ac:dyDescent="0.25">
      <c r="A60" s="64" t="s">
        <v>35</v>
      </c>
      <c r="B60" s="10">
        <v>415.75</v>
      </c>
      <c r="C60" s="30"/>
      <c r="E60" s="10">
        <v>871.38</v>
      </c>
      <c r="F60" s="30"/>
      <c r="H60" s="56">
        <v>0</v>
      </c>
      <c r="I60" s="30"/>
    </row>
    <row r="61" spans="1:10" x14ac:dyDescent="0.25">
      <c r="A61" s="64" t="s">
        <v>36</v>
      </c>
      <c r="B61" s="9">
        <v>3410</v>
      </c>
      <c r="C61" s="29"/>
      <c r="E61" s="9">
        <v>3391.5</v>
      </c>
      <c r="F61" s="29"/>
      <c r="H61" s="10">
        <f>57*67</f>
        <v>3819</v>
      </c>
      <c r="I61" s="29"/>
      <c r="J61" s="32" t="s">
        <v>234</v>
      </c>
    </row>
    <row r="63" spans="1:10" ht="16.5" thickBot="1" x14ac:dyDescent="0.3">
      <c r="A63" s="17" t="s">
        <v>55</v>
      </c>
      <c r="B63" s="18"/>
      <c r="C63" s="19">
        <f>SUM(C26:C61)</f>
        <v>93609.659999999989</v>
      </c>
      <c r="E63" s="18"/>
      <c r="F63" s="19">
        <f>SUM(F26:F62)</f>
        <v>70028.010000000009</v>
      </c>
      <c r="H63" s="18"/>
      <c r="I63" s="19">
        <f>SUM(I26:I61)</f>
        <v>46754</v>
      </c>
    </row>
    <row r="65" spans="1:9" x14ac:dyDescent="0.25">
      <c r="A65" t="s">
        <v>235</v>
      </c>
      <c r="F65" s="50">
        <f>F23-F63</f>
        <v>10153.849999999991</v>
      </c>
      <c r="I65" s="50">
        <f>I23-I63</f>
        <v>4806</v>
      </c>
    </row>
    <row r="66" spans="1:9" x14ac:dyDescent="0.25">
      <c r="F66" s="23"/>
      <c r="I66" s="50"/>
    </row>
    <row r="67" spans="1:9" x14ac:dyDescent="0.25">
      <c r="F67" s="50"/>
      <c r="I67" s="50"/>
    </row>
  </sheetData>
  <mergeCells count="2"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4294967294" verticalDpi="4294967294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workbookViewId="0">
      <pane xSplit="5" ySplit="2" topLeftCell="F48" activePane="bottomRight" state="frozen"/>
      <selection pane="topRight" activeCell="F1" sqref="F1"/>
      <selection pane="bottomLeft" activeCell="A3" sqref="A3"/>
      <selection pane="bottomRight" activeCell="E71" sqref="E71"/>
    </sheetView>
  </sheetViews>
  <sheetFormatPr defaultColWidth="8.7109375" defaultRowHeight="15" x14ac:dyDescent="0.25"/>
  <cols>
    <col min="1" max="1" width="28.7109375" bestFit="1" customWidth="1"/>
    <col min="2" max="2" width="33" style="32" hidden="1" customWidth="1"/>
    <col min="3" max="3" width="15.42578125" bestFit="1" customWidth="1"/>
    <col min="4" max="4" width="16.140625" customWidth="1"/>
    <col min="5" max="5" width="14.7109375" style="32" bestFit="1" customWidth="1"/>
    <col min="6" max="6" width="13.7109375" bestFit="1" customWidth="1"/>
    <col min="7" max="7" width="13.85546875" customWidth="1"/>
    <col min="8" max="10" width="12.42578125" style="89" bestFit="1" customWidth="1"/>
    <col min="11" max="11" width="13.7109375" style="89" bestFit="1" customWidth="1"/>
    <col min="12" max="15" width="12.42578125" style="89" bestFit="1" customWidth="1"/>
    <col min="16" max="16" width="14.42578125" style="89" customWidth="1"/>
    <col min="17" max="17" width="14.28515625" style="89" customWidth="1"/>
  </cols>
  <sheetData>
    <row r="1" spans="1:17" ht="36.6" customHeight="1" thickBot="1" x14ac:dyDescent="0.35">
      <c r="B1" s="36"/>
      <c r="C1" s="120" t="s">
        <v>236</v>
      </c>
      <c r="D1" s="120"/>
      <c r="E1" s="51" t="s">
        <v>83</v>
      </c>
      <c r="F1" s="74" t="s">
        <v>84</v>
      </c>
      <c r="G1" s="74" t="s">
        <v>84</v>
      </c>
      <c r="H1" s="114" t="s">
        <v>87</v>
      </c>
      <c r="I1" s="114" t="s">
        <v>87</v>
      </c>
      <c r="J1" s="114" t="s">
        <v>87</v>
      </c>
      <c r="K1" s="114" t="s">
        <v>87</v>
      </c>
      <c r="L1" s="114" t="s">
        <v>87</v>
      </c>
      <c r="M1" s="114" t="s">
        <v>87</v>
      </c>
      <c r="N1" s="114" t="s">
        <v>87</v>
      </c>
      <c r="O1" s="114" t="s">
        <v>87</v>
      </c>
      <c r="P1" s="114" t="s">
        <v>87</v>
      </c>
      <c r="Q1" s="114" t="s">
        <v>87</v>
      </c>
    </row>
    <row r="2" spans="1:17" ht="15.75" x14ac:dyDescent="0.25">
      <c r="A2" s="1"/>
      <c r="B2" s="45" t="s">
        <v>58</v>
      </c>
      <c r="C2" s="42" t="s">
        <v>43</v>
      </c>
      <c r="D2" s="43" t="s">
        <v>1</v>
      </c>
      <c r="E2" s="51"/>
      <c r="F2" s="35" t="s">
        <v>74</v>
      </c>
      <c r="G2" s="35" t="s">
        <v>71</v>
      </c>
      <c r="H2" s="93" t="s">
        <v>72</v>
      </c>
      <c r="I2" s="93" t="s">
        <v>73</v>
      </c>
      <c r="J2" s="93" t="s">
        <v>75</v>
      </c>
      <c r="K2" s="93" t="s">
        <v>76</v>
      </c>
      <c r="L2" s="93" t="s">
        <v>77</v>
      </c>
      <c r="M2" s="93" t="s">
        <v>78</v>
      </c>
      <c r="N2" s="93" t="s">
        <v>79</v>
      </c>
      <c r="O2" s="93" t="s">
        <v>80</v>
      </c>
      <c r="P2" s="93" t="s">
        <v>81</v>
      </c>
      <c r="Q2" s="93" t="s">
        <v>82</v>
      </c>
    </row>
    <row r="3" spans="1:17" ht="18.75" x14ac:dyDescent="0.3">
      <c r="A3" s="40" t="s">
        <v>2</v>
      </c>
      <c r="B3" s="37"/>
      <c r="C3" s="38"/>
      <c r="D3" s="39"/>
      <c r="E3" s="37"/>
    </row>
    <row r="4" spans="1:17" ht="15.75" x14ac:dyDescent="0.25">
      <c r="A4" s="53" t="s">
        <v>3</v>
      </c>
      <c r="B4" s="32" t="s">
        <v>44</v>
      </c>
      <c r="C4" s="28"/>
      <c r="D4" s="7">
        <f>SUM(C5:C6)</f>
        <v>15000</v>
      </c>
      <c r="E4" s="76"/>
      <c r="F4" s="77"/>
      <c r="G4" s="77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x14ac:dyDescent="0.25">
      <c r="A5" s="8" t="s">
        <v>89</v>
      </c>
      <c r="C5" s="10">
        <f>Budget!H8</f>
        <v>15000</v>
      </c>
      <c r="D5" s="30"/>
      <c r="E5" s="33">
        <f>SUM(F5:Q5)</f>
        <v>0</v>
      </c>
      <c r="F5" s="50">
        <v>0</v>
      </c>
      <c r="G5" s="50">
        <v>0</v>
      </c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x14ac:dyDescent="0.25">
      <c r="A6" s="8" t="s">
        <v>88</v>
      </c>
      <c r="C6" s="10">
        <f>Budget!H9</f>
        <v>0</v>
      </c>
      <c r="D6" s="29"/>
      <c r="E6" s="33">
        <f>SUM(F6:Q6)</f>
        <v>3505.37</v>
      </c>
      <c r="F6" s="50">
        <v>1848.67</v>
      </c>
      <c r="G6" s="50">
        <v>1656.7</v>
      </c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ht="15.75" x14ac:dyDescent="0.25">
      <c r="A7" s="53" t="s">
        <v>4</v>
      </c>
      <c r="C7" s="28"/>
      <c r="D7" s="7">
        <f>C8</f>
        <v>0</v>
      </c>
      <c r="E7" s="76"/>
      <c r="F7" s="77"/>
      <c r="G7" s="77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16.149999999999999" customHeight="1" x14ac:dyDescent="0.25">
      <c r="A8" s="8" t="s">
        <v>5</v>
      </c>
      <c r="B8" s="32" t="s">
        <v>59</v>
      </c>
      <c r="C8" s="9">
        <f>Budget!H11</f>
        <v>0</v>
      </c>
      <c r="D8" s="29"/>
      <c r="E8" s="33">
        <f t="shared" ref="E8:E18" si="0">SUM(F8:Q8)</f>
        <v>0</v>
      </c>
      <c r="F8" s="50">
        <v>0</v>
      </c>
      <c r="G8" s="5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</row>
    <row r="9" spans="1:17" ht="15.75" x14ac:dyDescent="0.25">
      <c r="A9" s="53" t="s">
        <v>6</v>
      </c>
      <c r="C9" s="28"/>
      <c r="D9" s="7">
        <f>SUM(C10:C13)</f>
        <v>2200</v>
      </c>
      <c r="E9" s="76"/>
      <c r="F9" s="77"/>
      <c r="G9" s="77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7" x14ac:dyDescent="0.25">
      <c r="A10" s="8" t="s">
        <v>7</v>
      </c>
      <c r="B10" s="32" t="s">
        <v>60</v>
      </c>
      <c r="C10" s="10">
        <f>Budget!H13</f>
        <v>0</v>
      </c>
      <c r="D10" s="30"/>
      <c r="E10" s="33">
        <f t="shared" si="0"/>
        <v>10</v>
      </c>
      <c r="F10" s="50">
        <v>0</v>
      </c>
      <c r="G10" s="50">
        <v>10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17" x14ac:dyDescent="0.25">
      <c r="A11" s="8" t="s">
        <v>96</v>
      </c>
      <c r="C11" s="10">
        <f>Budget!H14</f>
        <v>0</v>
      </c>
      <c r="D11" s="30"/>
      <c r="E11" s="33">
        <f t="shared" si="0"/>
        <v>105.45</v>
      </c>
      <c r="F11" s="50">
        <v>105.45</v>
      </c>
      <c r="G11" s="50">
        <v>0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7" x14ac:dyDescent="0.25">
      <c r="A12" s="8" t="s">
        <v>8</v>
      </c>
      <c r="B12" s="32" t="s">
        <v>61</v>
      </c>
      <c r="C12" s="10">
        <f>Budget!H15</f>
        <v>1200</v>
      </c>
      <c r="D12" s="30"/>
      <c r="E12" s="33">
        <f t="shared" si="0"/>
        <v>64.930000000000007</v>
      </c>
      <c r="F12" s="50">
        <v>34.15</v>
      </c>
      <c r="G12" s="50">
        <v>30.78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1:17" x14ac:dyDescent="0.25">
      <c r="A13" s="8" t="s">
        <v>9</v>
      </c>
      <c r="C13" s="9">
        <f>Budget!H16</f>
        <v>1000</v>
      </c>
      <c r="D13" s="29"/>
      <c r="E13" s="33">
        <f t="shared" si="0"/>
        <v>5137.5</v>
      </c>
      <c r="F13" s="50">
        <v>75</v>
      </c>
      <c r="G13" s="50">
        <v>5062.5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</row>
    <row r="14" spans="1:17" ht="15.75" x14ac:dyDescent="0.25">
      <c r="A14" s="54" t="s">
        <v>10</v>
      </c>
      <c r="C14" s="31"/>
      <c r="D14" s="12">
        <f>SUM(C15:C17)</f>
        <v>31860</v>
      </c>
      <c r="E14" s="76"/>
      <c r="F14" s="77"/>
      <c r="G14" s="77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7" ht="30" x14ac:dyDescent="0.25">
      <c r="A15" s="8" t="s">
        <v>11</v>
      </c>
      <c r="B15" s="33" t="s">
        <v>48</v>
      </c>
      <c r="C15" s="10">
        <f>Budget!H18</f>
        <v>31860</v>
      </c>
      <c r="D15" s="30"/>
      <c r="E15" s="33">
        <f t="shared" si="0"/>
        <v>5560</v>
      </c>
      <c r="F15" s="50">
        <v>3765</v>
      </c>
      <c r="G15" s="50">
        <v>1795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8" t="s">
        <v>113</v>
      </c>
      <c r="B16" s="33"/>
      <c r="C16" s="10">
        <f>Budget!H19</f>
        <v>0</v>
      </c>
      <c r="D16" s="30"/>
      <c r="E16" s="33">
        <f t="shared" si="0"/>
        <v>865</v>
      </c>
      <c r="F16" s="50">
        <v>745</v>
      </c>
      <c r="G16" s="50">
        <v>120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7" x14ac:dyDescent="0.25">
      <c r="A17" s="75" t="s">
        <v>114</v>
      </c>
      <c r="B17" s="32" t="s">
        <v>62</v>
      </c>
      <c r="C17" s="9">
        <f>Budget!H20</f>
        <v>0</v>
      </c>
      <c r="D17" s="29"/>
      <c r="E17" s="33">
        <f t="shared" si="0"/>
        <v>100</v>
      </c>
      <c r="F17" s="50">
        <v>100</v>
      </c>
      <c r="G17" s="50">
        <v>0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ht="15.75" x14ac:dyDescent="0.25">
      <c r="A18" s="54" t="s">
        <v>12</v>
      </c>
      <c r="C18" s="13">
        <f>Budget!I21</f>
        <v>2500</v>
      </c>
      <c r="D18" s="14">
        <f>Budget!I21</f>
        <v>2500</v>
      </c>
      <c r="E18" s="33">
        <f t="shared" si="0"/>
        <v>1000</v>
      </c>
      <c r="F18" s="50">
        <v>0</v>
      </c>
      <c r="G18" s="50">
        <v>1000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ht="15.75" x14ac:dyDescent="0.25">
      <c r="A19" s="4"/>
      <c r="C19" s="15"/>
      <c r="D19" s="16"/>
    </row>
    <row r="20" spans="1:17" ht="16.5" thickBot="1" x14ac:dyDescent="0.3">
      <c r="A20" s="17" t="s">
        <v>13</v>
      </c>
      <c r="C20" s="18"/>
      <c r="D20" s="19">
        <f t="shared" ref="D20:I20" si="1">SUM(D4:D19)</f>
        <v>51560</v>
      </c>
      <c r="E20" s="19">
        <f t="shared" si="1"/>
        <v>16348.25</v>
      </c>
      <c r="F20" s="19">
        <f t="shared" si="1"/>
        <v>6673.27</v>
      </c>
      <c r="G20" s="19">
        <f t="shared" si="1"/>
        <v>9674.98</v>
      </c>
      <c r="H20" s="95">
        <f t="shared" si="1"/>
        <v>0</v>
      </c>
      <c r="I20" s="95">
        <f t="shared" si="1"/>
        <v>0</v>
      </c>
      <c r="J20" s="95">
        <f t="shared" ref="J20:Q20" si="2">SUM(J4:J19)</f>
        <v>0</v>
      </c>
      <c r="K20" s="95">
        <f t="shared" si="2"/>
        <v>0</v>
      </c>
      <c r="L20" s="95">
        <f t="shared" si="2"/>
        <v>0</v>
      </c>
      <c r="M20" s="95">
        <f t="shared" si="2"/>
        <v>0</v>
      </c>
      <c r="N20" s="95">
        <f t="shared" si="2"/>
        <v>0</v>
      </c>
      <c r="O20" s="95">
        <f t="shared" si="2"/>
        <v>0</v>
      </c>
      <c r="P20" s="95">
        <f t="shared" si="2"/>
        <v>0</v>
      </c>
      <c r="Q20" s="95">
        <f t="shared" si="2"/>
        <v>0</v>
      </c>
    </row>
    <row r="21" spans="1:17" s="49" customFormat="1" ht="16.5" thickBot="1" x14ac:dyDescent="0.3">
      <c r="A21" s="46"/>
      <c r="B21" s="48"/>
      <c r="C21" s="47"/>
      <c r="D21" s="47"/>
      <c r="E21" s="48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t="18.75" x14ac:dyDescent="0.3">
      <c r="A22" s="41" t="s">
        <v>14</v>
      </c>
      <c r="C22" s="2"/>
      <c r="D22" s="3"/>
    </row>
    <row r="23" spans="1:17" ht="15.75" x14ac:dyDescent="0.25">
      <c r="A23" s="53" t="s">
        <v>15</v>
      </c>
      <c r="C23" s="28"/>
      <c r="D23" s="7">
        <f>SUM(C24:C26)</f>
        <v>155</v>
      </c>
      <c r="E23" s="76"/>
      <c r="F23" s="77"/>
      <c r="G23" s="77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x14ac:dyDescent="0.25">
      <c r="A24" s="8" t="s">
        <v>16</v>
      </c>
      <c r="B24" s="32" t="s">
        <v>63</v>
      </c>
      <c r="C24" s="10">
        <f>Budget!H27</f>
        <v>75</v>
      </c>
      <c r="D24" s="30"/>
      <c r="E24" s="33">
        <f t="shared" ref="E24:E57" si="3">SUM(F24:Q24)</f>
        <v>0</v>
      </c>
      <c r="F24" s="50">
        <v>0</v>
      </c>
      <c r="G24" s="50">
        <v>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7" x14ac:dyDescent="0.25">
      <c r="A25" s="8" t="s">
        <v>17</v>
      </c>
      <c r="B25" s="32" t="s">
        <v>63</v>
      </c>
      <c r="C25" s="10">
        <f>Budget!H28</f>
        <v>80</v>
      </c>
      <c r="D25" s="30"/>
      <c r="E25" s="33">
        <f t="shared" si="3"/>
        <v>0</v>
      </c>
      <c r="F25" s="50">
        <v>0</v>
      </c>
      <c r="G25" s="50">
        <v>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17" x14ac:dyDescent="0.25">
      <c r="A26" s="8" t="s">
        <v>18</v>
      </c>
      <c r="B26" s="32" t="s">
        <v>63</v>
      </c>
      <c r="C26" s="9">
        <f>Budget!H29</f>
        <v>0</v>
      </c>
      <c r="D26" s="29"/>
      <c r="E26" s="33">
        <f t="shared" si="3"/>
        <v>0</v>
      </c>
      <c r="F26" s="50">
        <v>0</v>
      </c>
      <c r="G26" s="50">
        <v>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1:17" ht="30" x14ac:dyDescent="0.25">
      <c r="A27" s="53" t="s">
        <v>19</v>
      </c>
      <c r="B27" s="32" t="s">
        <v>70</v>
      </c>
      <c r="C27" s="27"/>
      <c r="D27" s="6">
        <f>SUM(C28:C29)</f>
        <v>0</v>
      </c>
      <c r="E27" s="76"/>
      <c r="F27" s="77"/>
      <c r="G27" s="77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x14ac:dyDescent="0.25">
      <c r="A28" s="8" t="s">
        <v>89</v>
      </c>
      <c r="C28" s="10">
        <f>Budget!H31</f>
        <v>0</v>
      </c>
      <c r="D28" s="30"/>
      <c r="E28" s="33">
        <f t="shared" si="3"/>
        <v>325</v>
      </c>
      <c r="F28" s="50">
        <v>325</v>
      </c>
      <c r="G28" s="50">
        <v>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17" x14ac:dyDescent="0.25">
      <c r="A29" s="8" t="s">
        <v>88</v>
      </c>
      <c r="C29" s="10">
        <f>Budget!H32</f>
        <v>0</v>
      </c>
      <c r="D29" s="29"/>
      <c r="E29" s="33">
        <f t="shared" si="3"/>
        <v>15122.5</v>
      </c>
      <c r="F29" s="50">
        <v>5677.5</v>
      </c>
      <c r="G29" s="50">
        <v>9445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ht="15.75" x14ac:dyDescent="0.25">
      <c r="A30" s="53" t="s">
        <v>20</v>
      </c>
      <c r="C30" s="28"/>
      <c r="D30" s="7">
        <f>SUM(C31:C34)</f>
        <v>1050</v>
      </c>
      <c r="E30" s="76"/>
      <c r="F30" s="77"/>
      <c r="G30" s="77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" t="s">
        <v>21</v>
      </c>
      <c r="B31" s="32" t="s">
        <v>63</v>
      </c>
      <c r="C31" s="10">
        <f>Budget!H34</f>
        <v>700</v>
      </c>
      <c r="D31" s="30"/>
      <c r="E31" s="33">
        <f t="shared" si="3"/>
        <v>142.22</v>
      </c>
      <c r="F31" s="50">
        <v>0</v>
      </c>
      <c r="G31" s="50">
        <v>142.22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8" t="s">
        <v>115</v>
      </c>
      <c r="C32" s="10">
        <f>Budget!H35</f>
        <v>0</v>
      </c>
      <c r="D32" s="30"/>
      <c r="E32" s="33">
        <f t="shared" si="3"/>
        <v>0</v>
      </c>
      <c r="F32" s="50">
        <v>0</v>
      </c>
      <c r="G32" s="50">
        <v>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17" x14ac:dyDescent="0.25">
      <c r="A33" s="8" t="s">
        <v>116</v>
      </c>
      <c r="C33" s="10">
        <f>Budget!H37</f>
        <v>0</v>
      </c>
      <c r="D33" s="30"/>
      <c r="E33" s="33">
        <f t="shared" si="3"/>
        <v>0</v>
      </c>
      <c r="F33" s="50">
        <v>0</v>
      </c>
      <c r="G33" s="50">
        <v>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1:17" x14ac:dyDescent="0.25">
      <c r="A34" s="8" t="s">
        <v>22</v>
      </c>
      <c r="B34" s="32" t="s">
        <v>63</v>
      </c>
      <c r="C34" s="10">
        <f>Budget!H38</f>
        <v>350</v>
      </c>
      <c r="D34" s="29"/>
      <c r="E34" s="33">
        <f t="shared" si="3"/>
        <v>5000</v>
      </c>
      <c r="F34" s="50">
        <v>0</v>
      </c>
      <c r="G34" s="50">
        <v>5000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ht="15.75" x14ac:dyDescent="0.25">
      <c r="A35" s="53" t="s">
        <v>23</v>
      </c>
      <c r="C35" s="28"/>
      <c r="D35" s="7">
        <f>SUM(C36:C51)</f>
        <v>23550</v>
      </c>
      <c r="E35" s="76"/>
      <c r="F35" s="77"/>
      <c r="G35" s="77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x14ac:dyDescent="0.25">
      <c r="A36" s="8" t="s">
        <v>24</v>
      </c>
      <c r="B36" s="32" t="s">
        <v>64</v>
      </c>
      <c r="C36" s="10">
        <f>Budget!H40</f>
        <v>1200</v>
      </c>
      <c r="D36" s="30"/>
      <c r="E36" s="33">
        <f t="shared" si="3"/>
        <v>0</v>
      </c>
      <c r="F36" s="50">
        <v>0</v>
      </c>
      <c r="G36" s="50">
        <v>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1:17" x14ac:dyDescent="0.25">
      <c r="A37" s="118" t="s">
        <v>90</v>
      </c>
      <c r="C37" s="10">
        <f>Budget!H41</f>
        <v>800</v>
      </c>
      <c r="D37" s="30"/>
      <c r="E37" s="33">
        <f>SUM(F37:Q37)</f>
        <v>0</v>
      </c>
      <c r="F37" s="50">
        <v>0</v>
      </c>
      <c r="G37" s="50">
        <v>0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1:17" ht="45" x14ac:dyDescent="0.25">
      <c r="A38" s="8" t="s">
        <v>25</v>
      </c>
      <c r="B38" s="32" t="s">
        <v>65</v>
      </c>
      <c r="C38" s="10">
        <f>Budget!H42</f>
        <v>500</v>
      </c>
      <c r="D38" s="30"/>
      <c r="E38" s="33">
        <f t="shared" si="3"/>
        <v>429.91999999999996</v>
      </c>
      <c r="F38" s="50">
        <v>170.27</v>
      </c>
      <c r="G38" s="50">
        <v>259.64999999999998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1:17" x14ac:dyDescent="0.25">
      <c r="A39" s="8" t="s">
        <v>26</v>
      </c>
      <c r="C39" s="10">
        <f>Budget!H43</f>
        <v>1100</v>
      </c>
      <c r="D39" s="30"/>
      <c r="E39" s="33">
        <f t="shared" si="3"/>
        <v>766.51</v>
      </c>
      <c r="F39" s="50"/>
      <c r="G39" s="50">
        <v>766.51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1:17" x14ac:dyDescent="0.25">
      <c r="A40" s="8" t="s">
        <v>166</v>
      </c>
      <c r="C40" s="10">
        <f>Budget!H44</f>
        <v>0</v>
      </c>
      <c r="D40" s="30"/>
      <c r="E40" s="33">
        <f t="shared" si="3"/>
        <v>0</v>
      </c>
      <c r="F40" s="50">
        <v>0</v>
      </c>
      <c r="G40" s="50">
        <v>0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1:17" x14ac:dyDescent="0.25">
      <c r="A41" s="8" t="s">
        <v>117</v>
      </c>
      <c r="B41" s="32" t="s">
        <v>63</v>
      </c>
      <c r="C41" s="10">
        <f>Budget!H45</f>
        <v>0</v>
      </c>
      <c r="D41" s="30"/>
      <c r="E41" s="33">
        <f t="shared" si="3"/>
        <v>200</v>
      </c>
      <c r="F41" s="50">
        <v>200</v>
      </c>
      <c r="G41" s="50">
        <v>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1:17" x14ac:dyDescent="0.25">
      <c r="A42" s="8" t="s">
        <v>28</v>
      </c>
      <c r="B42" s="32" t="s">
        <v>66</v>
      </c>
      <c r="C42" s="10">
        <f>Budget!H46</f>
        <v>11000</v>
      </c>
      <c r="D42" s="30"/>
      <c r="E42" s="33">
        <f t="shared" si="3"/>
        <v>1177.8</v>
      </c>
      <c r="F42" s="50">
        <v>23.6</v>
      </c>
      <c r="G42" s="50">
        <v>1154.2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1:17" ht="30" x14ac:dyDescent="0.25">
      <c r="A43" s="8" t="s">
        <v>86</v>
      </c>
      <c r="B43" s="32" t="s">
        <v>54</v>
      </c>
      <c r="C43" s="10">
        <f>Budget!H47</f>
        <v>0</v>
      </c>
      <c r="D43" s="30"/>
      <c r="E43" s="33">
        <f t="shared" si="3"/>
        <v>0</v>
      </c>
      <c r="F43" s="50">
        <v>0</v>
      </c>
      <c r="G43" s="50">
        <v>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17" x14ac:dyDescent="0.25">
      <c r="A44" s="8" t="s">
        <v>108</v>
      </c>
      <c r="C44" s="10">
        <f>Budget!H48</f>
        <v>100</v>
      </c>
      <c r="D44" s="30"/>
      <c r="E44" s="33">
        <f t="shared" si="3"/>
        <v>105.45</v>
      </c>
      <c r="F44" s="50">
        <v>105.45</v>
      </c>
      <c r="G44" s="50">
        <v>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17" x14ac:dyDescent="0.25">
      <c r="A45" s="8" t="s">
        <v>109</v>
      </c>
      <c r="B45" s="32" t="s">
        <v>63</v>
      </c>
      <c r="C45" s="10">
        <f>Budget!H49</f>
        <v>800</v>
      </c>
      <c r="D45" s="30"/>
      <c r="E45" s="33">
        <f t="shared" si="3"/>
        <v>0</v>
      </c>
      <c r="F45" s="50">
        <v>0</v>
      </c>
      <c r="G45" s="50">
        <v>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17" x14ac:dyDescent="0.25">
      <c r="A46" s="8" t="s">
        <v>110</v>
      </c>
      <c r="B46" s="32" t="s">
        <v>63</v>
      </c>
      <c r="C46" s="10">
        <f>Budget!H50</f>
        <v>300</v>
      </c>
      <c r="D46" s="30"/>
      <c r="E46" s="33">
        <f t="shared" si="3"/>
        <v>275.01</v>
      </c>
      <c r="F46" s="50">
        <v>0</v>
      </c>
      <c r="G46" s="50">
        <v>275.01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17" x14ac:dyDescent="0.25">
      <c r="A47" s="8" t="s">
        <v>185</v>
      </c>
      <c r="C47" s="10">
        <f>Budget!H51</f>
        <v>250</v>
      </c>
      <c r="D47" s="30"/>
      <c r="E47" s="33">
        <f t="shared" si="3"/>
        <v>0</v>
      </c>
      <c r="F47" s="50">
        <v>0</v>
      </c>
      <c r="G47" s="50">
        <v>0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1:17" x14ac:dyDescent="0.25">
      <c r="A48" s="8" t="s">
        <v>29</v>
      </c>
      <c r="B48" s="32" t="s">
        <v>63</v>
      </c>
      <c r="C48" s="10">
        <f>Budget!H52</f>
        <v>7500</v>
      </c>
      <c r="D48" s="30"/>
      <c r="E48" s="33">
        <f t="shared" si="3"/>
        <v>1605</v>
      </c>
      <c r="F48" s="50">
        <v>775</v>
      </c>
      <c r="G48" s="50">
        <v>830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1:17" x14ac:dyDescent="0.25">
      <c r="A49" s="8" t="s">
        <v>30</v>
      </c>
      <c r="B49" s="32" t="s">
        <v>67</v>
      </c>
      <c r="C49" s="10">
        <f>Budget!H53</f>
        <v>0</v>
      </c>
      <c r="D49" s="30"/>
      <c r="E49" s="33">
        <f t="shared" si="3"/>
        <v>0</v>
      </c>
      <c r="F49" s="50">
        <v>0</v>
      </c>
      <c r="G49" s="50">
        <v>0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1:17" x14ac:dyDescent="0.25">
      <c r="A50" s="8" t="s">
        <v>31</v>
      </c>
      <c r="B50" s="32" t="s">
        <v>67</v>
      </c>
      <c r="C50" s="10">
        <f>Budget!H54</f>
        <v>0</v>
      </c>
      <c r="D50" s="30"/>
      <c r="E50" s="33">
        <f t="shared" si="3"/>
        <v>38.76</v>
      </c>
      <c r="F50" s="50">
        <v>38.76</v>
      </c>
      <c r="G50" s="50">
        <v>0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7" x14ac:dyDescent="0.25">
      <c r="A51" s="8" t="s">
        <v>107</v>
      </c>
      <c r="B51" s="32" t="s">
        <v>67</v>
      </c>
      <c r="C51" s="10">
        <f>Budget!H55</f>
        <v>0</v>
      </c>
      <c r="D51" s="29"/>
      <c r="E51" s="33">
        <f t="shared" si="3"/>
        <v>0</v>
      </c>
      <c r="F51" s="50">
        <v>0</v>
      </c>
      <c r="G51" s="50">
        <v>0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spans="1:17" ht="15.75" x14ac:dyDescent="0.25">
      <c r="A52" s="53" t="s">
        <v>32</v>
      </c>
      <c r="C52" s="28"/>
      <c r="D52" s="7">
        <f>SUM(C53:C57)</f>
        <v>21999</v>
      </c>
      <c r="E52" s="76"/>
      <c r="F52" s="77"/>
      <c r="G52" s="77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x14ac:dyDescent="0.25">
      <c r="A53" s="8" t="s">
        <v>33</v>
      </c>
      <c r="B53" s="32" t="s">
        <v>67</v>
      </c>
      <c r="C53" s="10">
        <f>Budget!H57</f>
        <v>7700</v>
      </c>
      <c r="D53" s="30"/>
      <c r="E53" s="33">
        <f t="shared" si="3"/>
        <v>2230</v>
      </c>
      <c r="F53" s="50">
        <v>1130</v>
      </c>
      <c r="G53" s="50">
        <v>1100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1:17" x14ac:dyDescent="0.25">
      <c r="A54" s="8" t="s">
        <v>95</v>
      </c>
      <c r="C54" s="10">
        <f>Budget!H58</f>
        <v>2500</v>
      </c>
      <c r="D54" s="30"/>
      <c r="E54" s="33">
        <f t="shared" si="3"/>
        <v>0</v>
      </c>
      <c r="F54" s="50">
        <v>0</v>
      </c>
      <c r="G54" s="50">
        <v>0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1:17" ht="30" x14ac:dyDescent="0.25">
      <c r="A55" s="8" t="s">
        <v>34</v>
      </c>
      <c r="B55" s="32" t="s">
        <v>68</v>
      </c>
      <c r="C55" s="10">
        <f>Budget!H59</f>
        <v>7980</v>
      </c>
      <c r="D55" s="30"/>
      <c r="E55" s="33">
        <f t="shared" si="3"/>
        <v>2905.77</v>
      </c>
      <c r="F55" s="50">
        <v>1823.82</v>
      </c>
      <c r="G55" s="50">
        <v>1081.95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1:17" x14ac:dyDescent="0.25">
      <c r="A56" s="8" t="s">
        <v>35</v>
      </c>
      <c r="C56" s="10">
        <f>Budget!H60</f>
        <v>0</v>
      </c>
      <c r="D56" s="30"/>
      <c r="E56" s="33">
        <f t="shared" si="3"/>
        <v>0</v>
      </c>
      <c r="F56" s="50">
        <v>0</v>
      </c>
      <c r="G56" s="50">
        <v>0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17" x14ac:dyDescent="0.25">
      <c r="A57" s="8" t="s">
        <v>36</v>
      </c>
      <c r="B57" s="32" t="s">
        <v>69</v>
      </c>
      <c r="C57" s="10">
        <f>Budget!H61</f>
        <v>3819</v>
      </c>
      <c r="D57" s="29"/>
      <c r="E57" s="33">
        <f t="shared" si="3"/>
        <v>3780.5</v>
      </c>
      <c r="F57" s="50">
        <v>28.5</v>
      </c>
      <c r="G57" s="50">
        <v>3752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9" spans="1:17" ht="16.5" thickBot="1" x14ac:dyDescent="0.3">
      <c r="A59" s="17" t="s">
        <v>55</v>
      </c>
      <c r="C59" s="18"/>
      <c r="D59" s="19">
        <f t="shared" ref="D59:Q59" si="4">SUM(D23:D57)</f>
        <v>46754</v>
      </c>
      <c r="E59" s="19">
        <f t="shared" si="4"/>
        <v>34104.439999999995</v>
      </c>
      <c r="F59" s="19">
        <f t="shared" si="4"/>
        <v>10297.900000000001</v>
      </c>
      <c r="G59" s="19">
        <f t="shared" si="4"/>
        <v>23806.539999999997</v>
      </c>
      <c r="H59" s="95">
        <f t="shared" si="4"/>
        <v>0</v>
      </c>
      <c r="I59" s="95">
        <f t="shared" si="4"/>
        <v>0</v>
      </c>
      <c r="J59" s="95">
        <f t="shared" si="4"/>
        <v>0</v>
      </c>
      <c r="K59" s="95">
        <f t="shared" si="4"/>
        <v>0</v>
      </c>
      <c r="L59" s="95">
        <f t="shared" si="4"/>
        <v>0</v>
      </c>
      <c r="M59" s="95">
        <f t="shared" si="4"/>
        <v>0</v>
      </c>
      <c r="N59" s="95">
        <f t="shared" si="4"/>
        <v>0</v>
      </c>
      <c r="O59" s="95">
        <f t="shared" si="4"/>
        <v>0</v>
      </c>
      <c r="P59" s="95">
        <f t="shared" si="4"/>
        <v>0</v>
      </c>
      <c r="Q59" s="95">
        <f t="shared" si="4"/>
        <v>0</v>
      </c>
    </row>
    <row r="61" spans="1:17" ht="15.75" x14ac:dyDescent="0.25">
      <c r="A61" s="52" t="s">
        <v>85</v>
      </c>
      <c r="D61" s="50">
        <f t="shared" ref="D61:Q61" si="5">D20-D59</f>
        <v>4806</v>
      </c>
      <c r="E61" s="50">
        <f t="shared" si="5"/>
        <v>-17756.189999999995</v>
      </c>
      <c r="F61" s="50">
        <f t="shared" si="5"/>
        <v>-3624.630000000001</v>
      </c>
      <c r="G61" s="50">
        <f t="shared" si="5"/>
        <v>-14131.559999999998</v>
      </c>
      <c r="H61" s="90">
        <f t="shared" si="5"/>
        <v>0</v>
      </c>
      <c r="I61" s="90">
        <f t="shared" si="5"/>
        <v>0</v>
      </c>
      <c r="J61" s="90">
        <f t="shared" si="5"/>
        <v>0</v>
      </c>
      <c r="K61" s="90">
        <f t="shared" si="5"/>
        <v>0</v>
      </c>
      <c r="L61" s="90">
        <f t="shared" si="5"/>
        <v>0</v>
      </c>
      <c r="M61" s="90">
        <f t="shared" si="5"/>
        <v>0</v>
      </c>
      <c r="N61" s="90">
        <f t="shared" si="5"/>
        <v>0</v>
      </c>
      <c r="O61" s="90">
        <f t="shared" si="5"/>
        <v>0</v>
      </c>
      <c r="P61" s="90">
        <f t="shared" si="5"/>
        <v>0</v>
      </c>
      <c r="Q61" s="90">
        <f t="shared" si="5"/>
        <v>0</v>
      </c>
    </row>
    <row r="63" spans="1:17" x14ac:dyDescent="0.25">
      <c r="A63" t="s">
        <v>154</v>
      </c>
      <c r="D63" t="s">
        <v>259</v>
      </c>
      <c r="F63" t="s">
        <v>260</v>
      </c>
      <c r="G63" t="s">
        <v>261</v>
      </c>
    </row>
    <row r="64" spans="1:17" s="23" customFormat="1" x14ac:dyDescent="0.25">
      <c r="A64" s="23" t="s">
        <v>155</v>
      </c>
      <c r="B64" s="86"/>
      <c r="D64" s="23">
        <v>21375.42</v>
      </c>
      <c r="E64" s="86"/>
      <c r="F64" s="23">
        <v>17716.64</v>
      </c>
      <c r="G64" s="23">
        <v>8554.2999999999993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1:17" s="23" customFormat="1" x14ac:dyDescent="0.25">
      <c r="A65" s="23" t="s">
        <v>156</v>
      </c>
      <c r="B65" s="86"/>
      <c r="D65" s="23">
        <v>33065.33</v>
      </c>
      <c r="E65" s="86"/>
      <c r="F65" s="23">
        <v>33099.480000000003</v>
      </c>
      <c r="G65" s="23">
        <v>28130.26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1:17" s="23" customFormat="1" x14ac:dyDescent="0.25">
      <c r="A66" s="23" t="s">
        <v>157</v>
      </c>
      <c r="B66" s="86"/>
      <c r="D66" s="23">
        <v>35808.26</v>
      </c>
      <c r="E66" s="86"/>
      <c r="F66" s="23">
        <v>35808.26</v>
      </c>
      <c r="G66" s="23">
        <v>35808.26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1:17" s="23" customFormat="1" ht="15.75" thickBot="1" x14ac:dyDescent="0.3">
      <c r="A67" s="23" t="s">
        <v>164</v>
      </c>
      <c r="B67" s="86"/>
      <c r="D67" s="91">
        <f>SUM(D64:D66)</f>
        <v>90249.010000000009</v>
      </c>
      <c r="E67" s="92"/>
      <c r="F67" s="91">
        <f t="shared" ref="F67:N67" si="6">SUM(F64:F66)</f>
        <v>86624.38</v>
      </c>
      <c r="G67" s="91">
        <f t="shared" si="6"/>
        <v>72492.820000000007</v>
      </c>
      <c r="H67" s="91">
        <f t="shared" si="6"/>
        <v>0</v>
      </c>
      <c r="I67" s="91">
        <f t="shared" si="6"/>
        <v>0</v>
      </c>
      <c r="J67" s="91">
        <f t="shared" si="6"/>
        <v>0</v>
      </c>
      <c r="K67" s="91">
        <f t="shared" si="6"/>
        <v>0</v>
      </c>
      <c r="L67" s="91">
        <f t="shared" si="6"/>
        <v>0</v>
      </c>
      <c r="M67" s="91">
        <f t="shared" si="6"/>
        <v>0</v>
      </c>
      <c r="N67" s="91">
        <f t="shared" si="6"/>
        <v>0</v>
      </c>
      <c r="O67" s="91">
        <f t="shared" ref="O67:Q67" si="7">SUM(O64:O66)</f>
        <v>0</v>
      </c>
      <c r="P67" s="98">
        <f t="shared" si="7"/>
        <v>0</v>
      </c>
      <c r="Q67" s="98">
        <f t="shared" si="7"/>
        <v>0</v>
      </c>
    </row>
    <row r="68" spans="1:17" s="89" customFormat="1" ht="15.75" thickTop="1" x14ac:dyDescent="0.25">
      <c r="A68" s="87" t="s">
        <v>159</v>
      </c>
      <c r="B68" s="88"/>
      <c r="E68" s="88"/>
      <c r="F68" s="90">
        <f>D67+F61</f>
        <v>86624.38</v>
      </c>
      <c r="G68" s="90">
        <f>F68+G61</f>
        <v>72492.820000000007</v>
      </c>
      <c r="H68" s="90">
        <f t="shared" ref="H68:Q68" si="8">G68+H61</f>
        <v>72492.820000000007</v>
      </c>
      <c r="I68" s="90">
        <f t="shared" si="8"/>
        <v>72492.820000000007</v>
      </c>
      <c r="J68" s="90">
        <f t="shared" si="8"/>
        <v>72492.820000000007</v>
      </c>
      <c r="K68" s="90">
        <f t="shared" si="8"/>
        <v>72492.820000000007</v>
      </c>
      <c r="L68" s="90">
        <f t="shared" si="8"/>
        <v>72492.820000000007</v>
      </c>
      <c r="M68" s="90">
        <f t="shared" si="8"/>
        <v>72492.820000000007</v>
      </c>
      <c r="N68" s="90">
        <f t="shared" si="8"/>
        <v>72492.820000000007</v>
      </c>
      <c r="O68" s="90">
        <f t="shared" si="8"/>
        <v>72492.820000000007</v>
      </c>
      <c r="P68" s="90">
        <f t="shared" si="8"/>
        <v>72492.820000000007</v>
      </c>
      <c r="Q68" s="90">
        <f t="shared" si="8"/>
        <v>72492.820000000007</v>
      </c>
    </row>
    <row r="69" spans="1:17" x14ac:dyDescent="0.25">
      <c r="H69" s="90"/>
      <c r="I69" s="90"/>
    </row>
    <row r="70" spans="1:17" x14ac:dyDescent="0.25">
      <c r="A70" t="s">
        <v>158</v>
      </c>
      <c r="G70" s="50"/>
    </row>
    <row r="71" spans="1:17" x14ac:dyDescent="0.25">
      <c r="A71" s="97" t="s">
        <v>161</v>
      </c>
      <c r="F71" s="23">
        <v>15000</v>
      </c>
      <c r="G71" s="23">
        <v>15000</v>
      </c>
      <c r="H71" s="87">
        <v>15000</v>
      </c>
      <c r="I71" s="87">
        <v>15000</v>
      </c>
      <c r="J71" s="87">
        <v>15000</v>
      </c>
      <c r="K71" s="87">
        <v>15000</v>
      </c>
      <c r="L71" s="87">
        <v>15000</v>
      </c>
      <c r="M71" s="87">
        <v>15000</v>
      </c>
      <c r="N71" s="87">
        <v>15000</v>
      </c>
      <c r="O71" s="87">
        <v>15000</v>
      </c>
      <c r="P71" s="90">
        <v>15000</v>
      </c>
      <c r="Q71" s="90">
        <v>15000</v>
      </c>
    </row>
    <row r="72" spans="1:17" x14ac:dyDescent="0.25">
      <c r="A72" s="97" t="s">
        <v>162</v>
      </c>
      <c r="G72" s="23">
        <v>5910.03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1:17" x14ac:dyDescent="0.25">
      <c r="A73" s="97" t="s">
        <v>160</v>
      </c>
      <c r="G73" s="23">
        <v>0</v>
      </c>
      <c r="H73" s="87"/>
      <c r="I73" s="87"/>
      <c r="J73" s="87"/>
      <c r="K73" s="87"/>
      <c r="L73" s="87"/>
      <c r="M73" s="87"/>
      <c r="N73" s="87"/>
      <c r="O73" s="90"/>
      <c r="P73" s="90"/>
      <c r="Q73" s="90"/>
    </row>
    <row r="74" spans="1:17" x14ac:dyDescent="0.25">
      <c r="A74" s="97" t="s">
        <v>28</v>
      </c>
      <c r="G74" s="23"/>
      <c r="H74" s="87"/>
      <c r="I74" s="87"/>
      <c r="J74" s="87"/>
      <c r="K74" s="87"/>
      <c r="L74" s="87"/>
      <c r="M74" s="87"/>
      <c r="N74" s="87"/>
      <c r="O74" s="87"/>
      <c r="P74" s="90"/>
      <c r="Q74" s="90"/>
    </row>
    <row r="75" spans="1:17" ht="15.75" thickBot="1" x14ac:dyDescent="0.3">
      <c r="A75" t="s">
        <v>163</v>
      </c>
      <c r="G75" s="91">
        <f>SUM(G71:G74)</f>
        <v>20910.03</v>
      </c>
      <c r="H75" s="91">
        <f>SUM(H71:H74)</f>
        <v>15000</v>
      </c>
      <c r="I75" s="98">
        <f t="shared" ref="I75:Q75" si="9">SUM(I71:I74)</f>
        <v>15000</v>
      </c>
      <c r="J75" s="98">
        <f t="shared" si="9"/>
        <v>15000</v>
      </c>
      <c r="K75" s="98">
        <f t="shared" si="9"/>
        <v>15000</v>
      </c>
      <c r="L75" s="98">
        <f t="shared" si="9"/>
        <v>15000</v>
      </c>
      <c r="M75" s="98">
        <f t="shared" si="9"/>
        <v>15000</v>
      </c>
      <c r="N75" s="98">
        <f t="shared" si="9"/>
        <v>15000</v>
      </c>
      <c r="O75" s="98">
        <f t="shared" si="9"/>
        <v>15000</v>
      </c>
      <c r="P75" s="98">
        <f t="shared" si="9"/>
        <v>15000</v>
      </c>
      <c r="Q75" s="98">
        <f t="shared" si="9"/>
        <v>15000</v>
      </c>
    </row>
    <row r="76" spans="1:17" ht="15.75" thickTop="1" x14ac:dyDescent="0.25"/>
    <row r="77" spans="1:17" x14ac:dyDescent="0.25">
      <c r="A77" t="s">
        <v>165</v>
      </c>
      <c r="G77" s="50">
        <f>G67-G75</f>
        <v>51582.790000000008</v>
      </c>
      <c r="H77" s="90">
        <f>H68-H75</f>
        <v>57492.820000000007</v>
      </c>
      <c r="I77" s="90">
        <f t="shared" ref="I77:Q77" si="10">I68-I75</f>
        <v>57492.820000000007</v>
      </c>
      <c r="J77" s="90">
        <f t="shared" si="10"/>
        <v>57492.820000000007</v>
      </c>
      <c r="K77" s="90">
        <f t="shared" si="10"/>
        <v>57492.820000000007</v>
      </c>
      <c r="L77" s="90">
        <f t="shared" si="10"/>
        <v>57492.820000000007</v>
      </c>
      <c r="M77" s="90">
        <f t="shared" si="10"/>
        <v>57492.820000000007</v>
      </c>
      <c r="N77" s="90">
        <f t="shared" si="10"/>
        <v>57492.820000000007</v>
      </c>
      <c r="O77" s="90">
        <f t="shared" si="10"/>
        <v>57492.820000000007</v>
      </c>
      <c r="P77" s="90">
        <f t="shared" si="10"/>
        <v>57492.820000000007</v>
      </c>
      <c r="Q77" s="90">
        <f t="shared" si="10"/>
        <v>57492.820000000007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I7" sqref="I7"/>
    </sheetView>
  </sheetViews>
  <sheetFormatPr defaultColWidth="8.7109375" defaultRowHeight="15" x14ac:dyDescent="0.25"/>
  <cols>
    <col min="1" max="1" width="42" customWidth="1"/>
    <col min="2" max="2" width="11.42578125" bestFit="1" customWidth="1"/>
    <col min="3" max="3" width="11.28515625" bestFit="1" customWidth="1"/>
    <col min="4" max="4" width="11.42578125" bestFit="1" customWidth="1"/>
    <col min="5" max="5" width="13.28515625" style="32" customWidth="1"/>
    <col min="6" max="6" width="13.5703125" customWidth="1"/>
    <col min="7" max="7" width="14.28515625" customWidth="1"/>
    <col min="8" max="8" width="13.28515625" style="32" customWidth="1"/>
    <col min="9" max="9" width="13.5703125" customWidth="1"/>
    <col min="10" max="10" width="14.28515625" customWidth="1"/>
    <col min="11" max="11" width="63.5703125" customWidth="1"/>
  </cols>
  <sheetData>
    <row r="1" spans="1:11" x14ac:dyDescent="0.25">
      <c r="B1" s="21" t="s">
        <v>238</v>
      </c>
      <c r="C1" s="21"/>
      <c r="D1" s="20"/>
      <c r="E1" s="121" t="s">
        <v>191</v>
      </c>
      <c r="F1" s="121"/>
      <c r="G1" s="121"/>
      <c r="H1" s="121" t="s">
        <v>237</v>
      </c>
      <c r="I1" s="121"/>
      <c r="J1" s="121"/>
      <c r="K1" t="s">
        <v>243</v>
      </c>
    </row>
    <row r="2" spans="1:11" x14ac:dyDescent="0.25">
      <c r="A2" s="24" t="s">
        <v>88</v>
      </c>
      <c r="B2" s="24" t="s">
        <v>37</v>
      </c>
      <c r="C2" s="24" t="s">
        <v>38</v>
      </c>
      <c r="D2" s="103" t="s">
        <v>39</v>
      </c>
      <c r="E2" s="104" t="s">
        <v>37</v>
      </c>
      <c r="F2" s="24" t="s">
        <v>38</v>
      </c>
      <c r="G2" s="24" t="s">
        <v>39</v>
      </c>
      <c r="H2" s="104" t="s">
        <v>37</v>
      </c>
      <c r="I2" s="24" t="s">
        <v>38</v>
      </c>
      <c r="J2" s="24" t="s">
        <v>39</v>
      </c>
    </row>
    <row r="3" spans="1:11" x14ac:dyDescent="0.25">
      <c r="A3" t="s">
        <v>239</v>
      </c>
      <c r="B3" s="23">
        <f>35+1540</f>
        <v>1575</v>
      </c>
      <c r="C3" s="23">
        <v>1820</v>
      </c>
      <c r="D3" s="108">
        <f>B3-C3</f>
        <v>-245</v>
      </c>
      <c r="E3" s="112">
        <v>1620</v>
      </c>
      <c r="F3" s="111">
        <v>1674.25</v>
      </c>
      <c r="G3" s="111">
        <f>E3-F3</f>
        <v>-54.25</v>
      </c>
      <c r="H3" s="110">
        <v>1700</v>
      </c>
      <c r="I3" s="111">
        <v>1700</v>
      </c>
      <c r="J3" s="111">
        <f>H3-I3</f>
        <v>0</v>
      </c>
    </row>
    <row r="4" spans="1:11" x14ac:dyDescent="0.25">
      <c r="A4" t="s">
        <v>150</v>
      </c>
      <c r="B4" s="23">
        <f>20+3794.84+1383</f>
        <v>5197.84</v>
      </c>
      <c r="C4" s="23">
        <f>15+13763+2029</f>
        <v>15807</v>
      </c>
      <c r="D4" s="105">
        <f>B4-C4</f>
        <v>-10609.16</v>
      </c>
      <c r="E4" s="112">
        <v>0</v>
      </c>
      <c r="F4" s="111">
        <v>440</v>
      </c>
      <c r="G4" s="111">
        <f t="shared" ref="G4:G6" si="0">E4-F4</f>
        <v>-440</v>
      </c>
      <c r="H4" s="112">
        <v>0</v>
      </c>
      <c r="I4" s="111">
        <v>0</v>
      </c>
      <c r="J4" s="111">
        <f t="shared" ref="J4:J10" si="1">H4-I4</f>
        <v>0</v>
      </c>
    </row>
    <row r="5" spans="1:11" x14ac:dyDescent="0.25">
      <c r="A5" t="s">
        <v>151</v>
      </c>
      <c r="B5" s="23"/>
      <c r="C5" s="23"/>
      <c r="D5" s="105"/>
      <c r="E5" s="112">
        <f>835+1225</f>
        <v>2060</v>
      </c>
      <c r="F5" s="111">
        <f>471.5+910</f>
        <v>1381.5</v>
      </c>
      <c r="G5" s="111">
        <f t="shared" si="0"/>
        <v>678.5</v>
      </c>
      <c r="H5" s="112">
        <v>0</v>
      </c>
      <c r="I5" s="111">
        <v>0</v>
      </c>
      <c r="J5" s="111">
        <f t="shared" si="1"/>
        <v>0</v>
      </c>
    </row>
    <row r="6" spans="1:11" x14ac:dyDescent="0.25">
      <c r="A6" t="s">
        <v>152</v>
      </c>
      <c r="B6" s="23"/>
      <c r="C6" s="23"/>
      <c r="D6" s="105"/>
      <c r="E6" s="112">
        <v>14142.51</v>
      </c>
      <c r="F6" s="111">
        <v>4004.61</v>
      </c>
      <c r="G6" s="111">
        <f t="shared" si="0"/>
        <v>10137.9</v>
      </c>
      <c r="H6" s="112">
        <f>1656+1848.67</f>
        <v>3504.67</v>
      </c>
      <c r="I6" s="111">
        <f>9445+5677.5</f>
        <v>15122.5</v>
      </c>
      <c r="J6" s="111">
        <f t="shared" si="1"/>
        <v>-11617.83</v>
      </c>
    </row>
    <row r="7" spans="1:11" x14ac:dyDescent="0.25">
      <c r="A7" t="s">
        <v>240</v>
      </c>
      <c r="B7" s="23"/>
      <c r="C7" s="23"/>
      <c r="D7" s="105"/>
      <c r="E7" s="112"/>
      <c r="F7" s="111"/>
      <c r="G7" s="111"/>
      <c r="H7" s="112">
        <v>2000</v>
      </c>
      <c r="I7" s="111">
        <v>2000</v>
      </c>
      <c r="J7" s="111"/>
      <c r="K7" t="s">
        <v>244</v>
      </c>
    </row>
    <row r="8" spans="1:11" x14ac:dyDescent="0.25">
      <c r="A8" t="s">
        <v>241</v>
      </c>
      <c r="B8" s="23">
        <v>8956.5499999999993</v>
      </c>
      <c r="C8" s="23">
        <v>10263.5</v>
      </c>
      <c r="D8" s="105">
        <f>B8-C8</f>
        <v>-1306.9500000000007</v>
      </c>
      <c r="E8" s="112">
        <v>7543</v>
      </c>
      <c r="F8" s="111">
        <v>8849</v>
      </c>
      <c r="G8" s="111">
        <f>E8-F8</f>
        <v>-1306</v>
      </c>
      <c r="H8" s="112">
        <v>9000</v>
      </c>
      <c r="I8" s="111">
        <v>10000</v>
      </c>
      <c r="J8" s="111">
        <f t="shared" si="1"/>
        <v>-1000</v>
      </c>
      <c r="K8" t="s">
        <v>245</v>
      </c>
    </row>
    <row r="9" spans="1:11" x14ac:dyDescent="0.25">
      <c r="A9" t="s">
        <v>256</v>
      </c>
      <c r="B9" s="23">
        <v>56.5</v>
      </c>
      <c r="C9" s="23"/>
      <c r="D9" s="105">
        <f>B9-C9</f>
        <v>56.5</v>
      </c>
      <c r="E9" s="112">
        <v>1440</v>
      </c>
      <c r="F9" s="111">
        <v>57.77</v>
      </c>
      <c r="G9" s="111">
        <f>E9-F9</f>
        <v>1382.23</v>
      </c>
      <c r="H9" s="112"/>
      <c r="I9" s="111"/>
      <c r="J9" s="111">
        <f t="shared" si="1"/>
        <v>0</v>
      </c>
      <c r="K9" t="s">
        <v>257</v>
      </c>
    </row>
    <row r="10" spans="1:11" x14ac:dyDescent="0.25">
      <c r="A10" t="s">
        <v>242</v>
      </c>
      <c r="B10" s="23"/>
      <c r="C10" s="23"/>
      <c r="D10" s="105">
        <f>B10-C10</f>
        <v>0</v>
      </c>
      <c r="H10" s="112"/>
      <c r="I10" s="111"/>
      <c r="J10" s="111">
        <f t="shared" si="1"/>
        <v>0</v>
      </c>
    </row>
    <row r="11" spans="1:11" ht="15.75" thickBot="1" x14ac:dyDescent="0.3">
      <c r="A11" t="s">
        <v>57</v>
      </c>
      <c r="B11" s="25">
        <f>SUM(B3:B10)</f>
        <v>15785.89</v>
      </c>
      <c r="C11" s="25">
        <f>SUM(C3:C10)</f>
        <v>27890.5</v>
      </c>
      <c r="D11" s="106">
        <f>SUM(D3:D10)</f>
        <v>-12104.61</v>
      </c>
      <c r="E11" s="107">
        <f>SUM(E3:E9)</f>
        <v>26805.510000000002</v>
      </c>
      <c r="F11" s="25">
        <f>SUM(F3:F9)</f>
        <v>16407.13</v>
      </c>
      <c r="G11" s="25">
        <f>SUM(G3:G9)</f>
        <v>10398.379999999999</v>
      </c>
      <c r="H11" s="107">
        <f>SUM(H3:H10)</f>
        <v>16204.67</v>
      </c>
      <c r="I11" s="25">
        <f>SUM(I3:I10)</f>
        <v>28822.5</v>
      </c>
      <c r="J11" s="25">
        <f>SUM(J3:J10)</f>
        <v>-12617.83</v>
      </c>
    </row>
    <row r="13" spans="1:11" x14ac:dyDescent="0.25">
      <c r="B13" s="21" t="s">
        <v>102</v>
      </c>
      <c r="C13" s="21"/>
      <c r="D13" s="20"/>
      <c r="E13" s="121" t="s">
        <v>173</v>
      </c>
      <c r="F13" s="121"/>
      <c r="G13" s="121"/>
      <c r="H13" s="121" t="s">
        <v>237</v>
      </c>
      <c r="I13" s="121"/>
      <c r="J13" s="121"/>
    </row>
    <row r="14" spans="1:11" x14ac:dyDescent="0.25">
      <c r="A14" s="24" t="s">
        <v>89</v>
      </c>
      <c r="B14" s="24" t="s">
        <v>37</v>
      </c>
      <c r="C14" s="24" t="s">
        <v>38</v>
      </c>
      <c r="D14" s="103" t="s">
        <v>39</v>
      </c>
      <c r="E14" s="104" t="s">
        <v>37</v>
      </c>
      <c r="F14" s="24" t="s">
        <v>38</v>
      </c>
      <c r="G14" s="24" t="s">
        <v>39</v>
      </c>
      <c r="H14" s="104" t="s">
        <v>37</v>
      </c>
      <c r="I14" s="24" t="s">
        <v>38</v>
      </c>
      <c r="J14" s="24" t="s">
        <v>39</v>
      </c>
    </row>
    <row r="15" spans="1:11" x14ac:dyDescent="0.25">
      <c r="A15" t="s">
        <v>186</v>
      </c>
      <c r="B15" s="23">
        <v>2114.75</v>
      </c>
      <c r="C15" s="23">
        <v>181.5</v>
      </c>
      <c r="D15" s="105">
        <f>B15-C15</f>
        <v>1933.25</v>
      </c>
      <c r="E15" s="112">
        <v>1181</v>
      </c>
      <c r="F15" s="111"/>
      <c r="G15" s="111">
        <f>E15-F15</f>
        <v>1181</v>
      </c>
      <c r="H15" s="112">
        <v>1500</v>
      </c>
      <c r="I15" s="111">
        <v>200</v>
      </c>
      <c r="J15" s="111">
        <f>H15-I15</f>
        <v>1300</v>
      </c>
    </row>
    <row r="16" spans="1:11" x14ac:dyDescent="0.25">
      <c r="A16" t="s">
        <v>41</v>
      </c>
      <c r="B16" s="23">
        <v>2903.1</v>
      </c>
      <c r="C16" s="23">
        <v>1685</v>
      </c>
      <c r="D16" s="105">
        <f t="shared" ref="D16:D21" si="2">B16-C16</f>
        <v>1218.0999999999999</v>
      </c>
      <c r="E16" s="112"/>
      <c r="F16" s="111"/>
      <c r="G16" s="111">
        <f t="shared" ref="G16:G25" si="3">E16-F16</f>
        <v>0</v>
      </c>
      <c r="H16" s="112">
        <v>3000</v>
      </c>
      <c r="I16" s="111">
        <v>1700</v>
      </c>
      <c r="J16" s="111">
        <f t="shared" ref="J16:J21" si="4">H16-I16</f>
        <v>1300</v>
      </c>
    </row>
    <row r="17" spans="1:10" x14ac:dyDescent="0.25">
      <c r="A17" t="s">
        <v>103</v>
      </c>
      <c r="B17" s="23">
        <f>254+245</f>
        <v>499</v>
      </c>
      <c r="C17" s="23"/>
      <c r="D17" s="105">
        <f t="shared" si="2"/>
        <v>499</v>
      </c>
      <c r="E17" s="109">
        <v>320</v>
      </c>
      <c r="F17" s="87">
        <v>0</v>
      </c>
      <c r="G17" s="87">
        <f t="shared" si="3"/>
        <v>320</v>
      </c>
      <c r="H17" s="109">
        <v>500</v>
      </c>
      <c r="I17" s="87">
        <v>0</v>
      </c>
      <c r="J17" s="87">
        <f t="shared" si="4"/>
        <v>500</v>
      </c>
    </row>
    <row r="18" spans="1:10" x14ac:dyDescent="0.25">
      <c r="A18" t="s">
        <v>187</v>
      </c>
      <c r="B18" s="23">
        <v>1827</v>
      </c>
      <c r="C18" s="23">
        <v>643.16999999999996</v>
      </c>
      <c r="D18" s="105">
        <f t="shared" si="2"/>
        <v>1183.83</v>
      </c>
      <c r="E18" s="112"/>
      <c r="F18" s="111"/>
      <c r="G18" s="111">
        <f t="shared" si="3"/>
        <v>0</v>
      </c>
      <c r="H18" s="112">
        <v>0</v>
      </c>
      <c r="I18" s="111">
        <v>0</v>
      </c>
      <c r="J18" s="111">
        <f t="shared" si="4"/>
        <v>0</v>
      </c>
    </row>
    <row r="19" spans="1:10" x14ac:dyDescent="0.25">
      <c r="A19" t="s">
        <v>104</v>
      </c>
      <c r="B19" s="23">
        <v>3837.87</v>
      </c>
      <c r="C19" s="23"/>
      <c r="D19" s="105">
        <f t="shared" si="2"/>
        <v>3837.87</v>
      </c>
      <c r="E19" s="112">
        <v>435</v>
      </c>
      <c r="F19" s="111"/>
      <c r="G19" s="111">
        <f t="shared" si="3"/>
        <v>435</v>
      </c>
      <c r="H19" s="112">
        <v>0</v>
      </c>
      <c r="I19" s="111">
        <v>0</v>
      </c>
      <c r="J19" s="111">
        <f t="shared" si="4"/>
        <v>0</v>
      </c>
    </row>
    <row r="20" spans="1:10" x14ac:dyDescent="0.25">
      <c r="A20" t="s">
        <v>56</v>
      </c>
      <c r="B20" s="23">
        <v>3799.7</v>
      </c>
      <c r="C20" s="23">
        <v>936</v>
      </c>
      <c r="D20" s="105">
        <f t="shared" si="2"/>
        <v>2863.7</v>
      </c>
      <c r="E20" s="109">
        <v>6440.65</v>
      </c>
      <c r="F20" s="87">
        <v>1167.5</v>
      </c>
      <c r="G20" s="87">
        <f t="shared" si="3"/>
        <v>5273.15</v>
      </c>
      <c r="H20" s="109">
        <v>6000</v>
      </c>
      <c r="I20" s="87">
        <v>2000</v>
      </c>
      <c r="J20" s="87">
        <f t="shared" si="4"/>
        <v>4000</v>
      </c>
    </row>
    <row r="21" spans="1:10" x14ac:dyDescent="0.25">
      <c r="A21" t="s">
        <v>40</v>
      </c>
      <c r="B21" s="23">
        <v>60</v>
      </c>
      <c r="C21" s="23"/>
      <c r="D21" s="105">
        <f t="shared" si="2"/>
        <v>60</v>
      </c>
      <c r="E21" s="112"/>
      <c r="F21" s="111"/>
      <c r="G21" s="111">
        <f t="shared" si="3"/>
        <v>0</v>
      </c>
      <c r="H21" s="112"/>
      <c r="I21" s="111"/>
      <c r="J21" s="111">
        <f t="shared" si="4"/>
        <v>0</v>
      </c>
    </row>
    <row r="22" spans="1:10" x14ac:dyDescent="0.25">
      <c r="A22" t="s">
        <v>171</v>
      </c>
      <c r="B22" s="23"/>
      <c r="C22" s="23"/>
      <c r="D22" s="105"/>
      <c r="E22" s="112">
        <v>678</v>
      </c>
      <c r="F22" s="111">
        <v>0</v>
      </c>
      <c r="G22" s="111">
        <f>E22-F22</f>
        <v>678</v>
      </c>
      <c r="H22" s="112">
        <v>750</v>
      </c>
      <c r="I22" s="111">
        <v>0</v>
      </c>
      <c r="J22" s="111">
        <f>H22-I22</f>
        <v>750</v>
      </c>
    </row>
    <row r="23" spans="1:10" x14ac:dyDescent="0.25">
      <c r="A23" t="s">
        <v>188</v>
      </c>
      <c r="B23" s="23"/>
      <c r="C23" s="23"/>
      <c r="D23" s="105"/>
      <c r="E23" s="109">
        <v>2242.6999999999998</v>
      </c>
      <c r="F23" s="87">
        <v>143.44</v>
      </c>
      <c r="G23" s="87">
        <f>E23-F23</f>
        <v>2099.2599999999998</v>
      </c>
      <c r="H23" s="109"/>
      <c r="I23" s="87"/>
      <c r="J23" s="87">
        <f>H23-I23</f>
        <v>0</v>
      </c>
    </row>
    <row r="24" spans="1:10" x14ac:dyDescent="0.25">
      <c r="A24" t="s">
        <v>172</v>
      </c>
      <c r="B24" s="23"/>
      <c r="C24" s="23"/>
      <c r="D24" s="105"/>
      <c r="E24" s="109">
        <v>454.2</v>
      </c>
      <c r="F24" s="87">
        <v>0</v>
      </c>
      <c r="G24" s="87">
        <f>E24-F24</f>
        <v>454.2</v>
      </c>
      <c r="H24" s="109"/>
      <c r="I24" s="87"/>
      <c r="J24" s="87">
        <f>H24-I24</f>
        <v>0</v>
      </c>
    </row>
    <row r="25" spans="1:10" x14ac:dyDescent="0.25">
      <c r="A25" t="s">
        <v>190</v>
      </c>
      <c r="B25" s="23"/>
      <c r="C25" s="23"/>
      <c r="D25" s="105"/>
      <c r="E25" s="109">
        <v>2309.5500000000002</v>
      </c>
      <c r="F25" s="87">
        <v>605.24</v>
      </c>
      <c r="G25" s="87">
        <f t="shared" si="3"/>
        <v>1704.3100000000002</v>
      </c>
      <c r="H25" s="109"/>
      <c r="I25" s="87"/>
      <c r="J25" s="87">
        <f t="shared" ref="J25" si="5">H25-I25</f>
        <v>0</v>
      </c>
    </row>
    <row r="26" spans="1:10" x14ac:dyDescent="0.25">
      <c r="A26" t="s">
        <v>189</v>
      </c>
      <c r="B26" s="23"/>
      <c r="C26" s="23"/>
      <c r="D26" s="105">
        <f>B26-C26</f>
        <v>0</v>
      </c>
      <c r="E26" s="112"/>
      <c r="F26" s="111"/>
      <c r="G26" s="111">
        <f>E26-F26</f>
        <v>0</v>
      </c>
      <c r="H26" s="112">
        <v>2500</v>
      </c>
      <c r="I26" s="111">
        <v>1000</v>
      </c>
      <c r="J26" s="111">
        <f>H26-I26</f>
        <v>1500</v>
      </c>
    </row>
    <row r="27" spans="1:10" x14ac:dyDescent="0.25">
      <c r="B27" s="23"/>
      <c r="C27" s="23"/>
      <c r="D27" s="105"/>
      <c r="E27" s="112"/>
      <c r="F27" s="111"/>
      <c r="G27" s="111"/>
      <c r="H27" s="112"/>
      <c r="I27" s="111"/>
      <c r="J27" s="111"/>
    </row>
    <row r="28" spans="1:10" ht="15.75" thickBot="1" x14ac:dyDescent="0.3">
      <c r="A28" t="s">
        <v>57</v>
      </c>
      <c r="B28" s="25">
        <f>SUM(B15:B27)</f>
        <v>15041.420000000002</v>
      </c>
      <c r="C28" s="25">
        <f t="shared" ref="C28:J28" si="6">SUM(C15:C27)</f>
        <v>3445.67</v>
      </c>
      <c r="D28" s="106">
        <f t="shared" si="6"/>
        <v>11595.75</v>
      </c>
      <c r="E28" s="107">
        <f t="shared" si="6"/>
        <v>14061.099999999999</v>
      </c>
      <c r="F28" s="25">
        <f t="shared" si="6"/>
        <v>1916.18</v>
      </c>
      <c r="G28" s="25">
        <f t="shared" si="6"/>
        <v>12144.92</v>
      </c>
      <c r="H28" s="107">
        <f t="shared" si="6"/>
        <v>14250</v>
      </c>
      <c r="I28" s="25">
        <f t="shared" si="6"/>
        <v>4900</v>
      </c>
      <c r="J28" s="25">
        <f t="shared" si="6"/>
        <v>9350</v>
      </c>
    </row>
    <row r="30" spans="1:10" x14ac:dyDescent="0.25">
      <c r="A30" t="s">
        <v>192</v>
      </c>
      <c r="E30" s="50">
        <f t="shared" ref="E30:J30" si="7">E11+E28</f>
        <v>40866.61</v>
      </c>
      <c r="F30" s="50">
        <f t="shared" si="7"/>
        <v>18323.310000000001</v>
      </c>
      <c r="G30" s="50">
        <f t="shared" si="7"/>
        <v>22543.3</v>
      </c>
      <c r="H30" s="50">
        <f t="shared" si="7"/>
        <v>30454.67</v>
      </c>
      <c r="I30" s="50">
        <f t="shared" si="7"/>
        <v>33722.5</v>
      </c>
      <c r="J30" s="50">
        <f t="shared" si="7"/>
        <v>-3267.83</v>
      </c>
    </row>
    <row r="32" spans="1:10" x14ac:dyDescent="0.25">
      <c r="B32" s="79"/>
      <c r="C32" s="79"/>
      <c r="D32" s="79"/>
      <c r="E32" s="79"/>
      <c r="H32" s="79"/>
    </row>
    <row r="33" spans="2:8" x14ac:dyDescent="0.25">
      <c r="B33" s="23"/>
      <c r="C33" s="23"/>
      <c r="D33" s="23"/>
      <c r="E33" s="86"/>
      <c r="H33" s="86"/>
    </row>
    <row r="34" spans="2:8" x14ac:dyDescent="0.25">
      <c r="B34" s="23"/>
      <c r="C34" s="23"/>
      <c r="D34" s="23"/>
      <c r="E34" s="86"/>
      <c r="H34" s="86"/>
    </row>
    <row r="35" spans="2:8" x14ac:dyDescent="0.25">
      <c r="B35" s="23"/>
    </row>
  </sheetData>
  <mergeCells count="4">
    <mergeCell ref="E1:G1"/>
    <mergeCell ref="E13:G13"/>
    <mergeCell ref="H1:J1"/>
    <mergeCell ref="H13:J13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28" sqref="F28"/>
    </sheetView>
  </sheetViews>
  <sheetFormatPr defaultColWidth="8.7109375" defaultRowHeight="15" x14ac:dyDescent="0.25"/>
  <cols>
    <col min="1" max="1" width="21.140625" customWidth="1"/>
    <col min="2" max="2" width="21.28515625" customWidth="1"/>
    <col min="3" max="3" width="10.5703125" style="23" bestFit="1" customWidth="1"/>
    <col min="4" max="4" width="11.28515625" style="23" bestFit="1" customWidth="1"/>
    <col min="5" max="5" width="11.5703125" style="23" bestFit="1" customWidth="1"/>
    <col min="6" max="6" width="38.42578125" customWidth="1"/>
  </cols>
  <sheetData>
    <row r="1" spans="1:7" x14ac:dyDescent="0.25">
      <c r="A1" s="82" t="s">
        <v>91</v>
      </c>
      <c r="B1" s="82" t="s">
        <v>92</v>
      </c>
      <c r="C1" s="85" t="s">
        <v>93</v>
      </c>
      <c r="D1" s="85" t="s">
        <v>94</v>
      </c>
      <c r="E1" s="85" t="s">
        <v>57</v>
      </c>
    </row>
    <row r="2" spans="1:7" x14ac:dyDescent="0.25">
      <c r="A2" s="82" t="s">
        <v>132</v>
      </c>
      <c r="B2" s="70"/>
      <c r="C2" s="84"/>
      <c r="D2" s="84"/>
      <c r="E2" s="84"/>
    </row>
    <row r="3" spans="1:7" x14ac:dyDescent="0.25">
      <c r="A3" s="83" t="s">
        <v>136</v>
      </c>
      <c r="B3" s="70" t="s">
        <v>133</v>
      </c>
      <c r="C3" s="84"/>
      <c r="D3" s="84">
        <v>610.59</v>
      </c>
      <c r="E3" s="84">
        <f>SUM(C3:D3)</f>
        <v>610.59</v>
      </c>
    </row>
    <row r="4" spans="1:7" x14ac:dyDescent="0.25">
      <c r="A4" s="83" t="s">
        <v>137</v>
      </c>
      <c r="B4" s="70" t="s">
        <v>111</v>
      </c>
      <c r="C4" s="84"/>
      <c r="D4" s="84">
        <v>2700</v>
      </c>
      <c r="E4" s="84">
        <f t="shared" ref="E4:E9" si="0">SUM(C4:D4)</f>
        <v>2700</v>
      </c>
      <c r="F4" t="s">
        <v>146</v>
      </c>
    </row>
    <row r="5" spans="1:7" x14ac:dyDescent="0.25">
      <c r="A5" s="83" t="s">
        <v>138</v>
      </c>
      <c r="B5" s="70" t="s">
        <v>112</v>
      </c>
      <c r="C5" s="84">
        <v>2747.67</v>
      </c>
      <c r="D5" s="84">
        <v>1908.25</v>
      </c>
      <c r="E5" s="84">
        <f t="shared" si="0"/>
        <v>4655.92</v>
      </c>
    </row>
    <row r="6" spans="1:7" x14ac:dyDescent="0.25">
      <c r="A6" s="81" t="s">
        <v>140</v>
      </c>
      <c r="B6" s="70" t="s">
        <v>139</v>
      </c>
      <c r="C6" s="84">
        <v>423</v>
      </c>
      <c r="D6" s="84"/>
      <c r="E6" s="84">
        <f t="shared" si="0"/>
        <v>423</v>
      </c>
    </row>
    <row r="7" spans="1:7" x14ac:dyDescent="0.25">
      <c r="A7" s="83" t="s">
        <v>141</v>
      </c>
      <c r="B7" s="70" t="s">
        <v>142</v>
      </c>
      <c r="C7" s="84">
        <v>2059.73</v>
      </c>
      <c r="D7" s="84">
        <v>3218.02</v>
      </c>
      <c r="E7" s="84">
        <f t="shared" si="0"/>
        <v>5277.75</v>
      </c>
    </row>
    <row r="8" spans="1:7" x14ac:dyDescent="0.25">
      <c r="A8" s="81" t="s">
        <v>141</v>
      </c>
      <c r="B8" s="70" t="s">
        <v>143</v>
      </c>
      <c r="C8" s="84"/>
      <c r="D8" s="84">
        <v>934.63</v>
      </c>
      <c r="E8" s="84">
        <f t="shared" si="0"/>
        <v>934.63</v>
      </c>
    </row>
    <row r="9" spans="1:7" x14ac:dyDescent="0.25">
      <c r="A9" s="83" t="s">
        <v>144</v>
      </c>
      <c r="B9" s="70" t="s">
        <v>111</v>
      </c>
      <c r="C9" s="84">
        <v>216</v>
      </c>
      <c r="D9" s="84">
        <v>440</v>
      </c>
      <c r="E9" s="84">
        <f t="shared" si="0"/>
        <v>656</v>
      </c>
    </row>
    <row r="10" spans="1:7" x14ac:dyDescent="0.25">
      <c r="A10" s="81" t="s">
        <v>57</v>
      </c>
      <c r="B10" s="70"/>
      <c r="C10" s="84">
        <f>SUM(C3:C9)</f>
        <v>5446.4</v>
      </c>
      <c r="D10" s="84">
        <f>SUM(D3:D9)</f>
        <v>9811.49</v>
      </c>
      <c r="E10" s="84">
        <f>SUM(E3:E9)</f>
        <v>15257.89</v>
      </c>
      <c r="G10" s="50"/>
    </row>
    <row r="11" spans="1:7" x14ac:dyDescent="0.25">
      <c r="A11" s="70"/>
      <c r="B11" s="70"/>
      <c r="C11" s="84"/>
      <c r="D11" s="84"/>
      <c r="E11" s="84"/>
    </row>
    <row r="12" spans="1:7" x14ac:dyDescent="0.25">
      <c r="A12" s="82" t="s">
        <v>134</v>
      </c>
      <c r="B12" s="70"/>
      <c r="C12" s="84"/>
      <c r="D12" s="84"/>
      <c r="E12" s="84"/>
    </row>
    <row r="13" spans="1:7" x14ac:dyDescent="0.25">
      <c r="A13" s="81" t="s">
        <v>145</v>
      </c>
      <c r="B13" s="70" t="s">
        <v>168</v>
      </c>
      <c r="C13" s="101">
        <v>217.67</v>
      </c>
      <c r="D13" s="101">
        <v>1586.87</v>
      </c>
      <c r="E13" s="84">
        <f>SUM(C13:D13)</f>
        <v>1804.54</v>
      </c>
    </row>
    <row r="14" spans="1:7" x14ac:dyDescent="0.25">
      <c r="A14" s="81">
        <v>42217</v>
      </c>
      <c r="B14" s="70" t="s">
        <v>193</v>
      </c>
      <c r="C14" s="101"/>
      <c r="D14" s="101">
        <v>623.37</v>
      </c>
      <c r="E14" s="84">
        <f t="shared" ref="E14:E18" si="1">SUM(C14:D14)</f>
        <v>623.37</v>
      </c>
    </row>
    <row r="15" spans="1:7" x14ac:dyDescent="0.25">
      <c r="A15" s="81" t="s">
        <v>184</v>
      </c>
      <c r="B15" s="70" t="s">
        <v>143</v>
      </c>
      <c r="C15" s="84"/>
      <c r="D15" s="101">
        <v>339.66</v>
      </c>
      <c r="E15" s="84">
        <f t="shared" si="1"/>
        <v>339.66</v>
      </c>
      <c r="F15" t="s">
        <v>183</v>
      </c>
    </row>
    <row r="16" spans="1:7" x14ac:dyDescent="0.25">
      <c r="A16" s="81" t="s">
        <v>182</v>
      </c>
      <c r="B16" s="70" t="s">
        <v>168</v>
      </c>
      <c r="C16" s="101">
        <v>141.82</v>
      </c>
      <c r="D16" s="101">
        <v>765</v>
      </c>
      <c r="E16" s="84">
        <f t="shared" si="1"/>
        <v>906.81999999999994</v>
      </c>
      <c r="F16" t="s">
        <v>174</v>
      </c>
    </row>
    <row r="17" spans="1:6" x14ac:dyDescent="0.25">
      <c r="A17" s="70" t="s">
        <v>131</v>
      </c>
      <c r="B17" s="70" t="s">
        <v>111</v>
      </c>
      <c r="C17" s="84"/>
      <c r="D17" s="101">
        <v>3879.44</v>
      </c>
      <c r="E17" s="84">
        <f t="shared" si="1"/>
        <v>3879.44</v>
      </c>
      <c r="F17" t="s">
        <v>194</v>
      </c>
    </row>
    <row r="18" spans="1:6" x14ac:dyDescent="0.25">
      <c r="A18" s="70" t="s">
        <v>175</v>
      </c>
      <c r="B18" s="70" t="s">
        <v>176</v>
      </c>
      <c r="C18" s="101">
        <v>739.2</v>
      </c>
      <c r="D18" s="101">
        <v>1835.86</v>
      </c>
      <c r="E18" s="84">
        <f t="shared" si="1"/>
        <v>2575.06</v>
      </c>
      <c r="F18" t="s">
        <v>177</v>
      </c>
    </row>
    <row r="19" spans="1:6" x14ac:dyDescent="0.25">
      <c r="A19" s="70" t="s">
        <v>57</v>
      </c>
      <c r="B19" s="70"/>
      <c r="C19" s="99">
        <f>SUM(C13:C17)</f>
        <v>359.49</v>
      </c>
      <c r="D19" s="99">
        <f>SUM(D13:D17)</f>
        <v>7194.34</v>
      </c>
      <c r="E19" s="99">
        <f>SUM(E13:E18)</f>
        <v>10128.89</v>
      </c>
    </row>
    <row r="20" spans="1:6" x14ac:dyDescent="0.25">
      <c r="A20" s="70" t="s">
        <v>169</v>
      </c>
      <c r="B20" s="70"/>
      <c r="C20" s="100"/>
      <c r="D20" s="100"/>
      <c r="E20" s="100">
        <v>15510</v>
      </c>
    </row>
    <row r="21" spans="1:6" x14ac:dyDescent="0.25">
      <c r="A21" s="70" t="s">
        <v>178</v>
      </c>
      <c r="B21" s="70"/>
      <c r="C21" s="100"/>
      <c r="D21" s="100"/>
      <c r="E21" s="100">
        <f>E20-E19</f>
        <v>5381.1100000000006</v>
      </c>
    </row>
    <row r="22" spans="1:6" x14ac:dyDescent="0.25">
      <c r="A22" s="70"/>
      <c r="B22" s="70"/>
      <c r="C22" s="84"/>
      <c r="D22" s="84"/>
      <c r="E22" s="84"/>
    </row>
    <row r="23" spans="1:6" x14ac:dyDescent="0.25">
      <c r="A23" s="82" t="s">
        <v>135</v>
      </c>
      <c r="B23" s="70"/>
      <c r="C23" s="84"/>
      <c r="D23" s="84"/>
      <c r="E23" s="84"/>
    </row>
    <row r="24" spans="1:6" x14ac:dyDescent="0.25">
      <c r="A24" s="71" t="s">
        <v>196</v>
      </c>
      <c r="B24" s="70" t="s">
        <v>195</v>
      </c>
      <c r="C24" s="84">
        <v>85.4</v>
      </c>
      <c r="D24" s="84">
        <f>570+475</f>
        <v>1045</v>
      </c>
      <c r="E24" s="84">
        <f>SUM(C24:D24)</f>
        <v>1130.4000000000001</v>
      </c>
    </row>
    <row r="25" spans="1:6" x14ac:dyDescent="0.25">
      <c r="A25" s="71" t="s">
        <v>262</v>
      </c>
      <c r="B25" s="70" t="s">
        <v>263</v>
      </c>
      <c r="C25" s="84"/>
      <c r="D25" s="84"/>
      <c r="E25" s="84"/>
      <c r="F25" t="s">
        <v>264</v>
      </c>
    </row>
    <row r="26" spans="1:6" x14ac:dyDescent="0.25">
      <c r="A26" s="71" t="s">
        <v>246</v>
      </c>
      <c r="B26" s="70" t="s">
        <v>247</v>
      </c>
      <c r="C26" s="84">
        <v>2000</v>
      </c>
      <c r="D26" s="84">
        <v>2000</v>
      </c>
      <c r="E26" s="84">
        <f t="shared" ref="E26:E27" si="2">SUM(C26:D26)</f>
        <v>4000</v>
      </c>
      <c r="F26" t="s">
        <v>248</v>
      </c>
    </row>
    <row r="27" spans="1:6" x14ac:dyDescent="0.25">
      <c r="A27" s="102" t="s">
        <v>197</v>
      </c>
      <c r="B27" s="70" t="s">
        <v>111</v>
      </c>
      <c r="C27" s="84"/>
      <c r="D27" s="84">
        <v>4000</v>
      </c>
      <c r="E27" s="84">
        <f t="shared" si="2"/>
        <v>4000</v>
      </c>
    </row>
    <row r="28" spans="1:6" x14ac:dyDescent="0.25">
      <c r="A28" s="70" t="s">
        <v>57</v>
      </c>
      <c r="B28" s="70"/>
      <c r="C28" s="99">
        <f>C24</f>
        <v>85.4</v>
      </c>
      <c r="D28" s="99">
        <f>D24</f>
        <v>1045</v>
      </c>
      <c r="E28" s="99">
        <f>E24</f>
        <v>1130.4000000000001</v>
      </c>
    </row>
    <row r="29" spans="1:6" x14ac:dyDescent="0.25">
      <c r="A29" s="70" t="s">
        <v>169</v>
      </c>
      <c r="B29" s="70"/>
      <c r="C29" s="84"/>
      <c r="D29" s="84"/>
      <c r="E29" s="84"/>
    </row>
    <row r="30" spans="1:6" x14ac:dyDescent="0.25">
      <c r="A30" s="70"/>
      <c r="B30" s="70"/>
      <c r="C30" s="84"/>
      <c r="D30" s="84"/>
      <c r="E30" s="84"/>
    </row>
    <row r="31" spans="1:6" x14ac:dyDescent="0.25">
      <c r="A31" s="70"/>
      <c r="B31" s="70"/>
      <c r="C31" s="84"/>
      <c r="D31" s="84"/>
      <c r="E31" s="84"/>
    </row>
    <row r="32" spans="1:6" x14ac:dyDescent="0.25">
      <c r="A32" s="70" t="s">
        <v>167</v>
      </c>
      <c r="B32" s="70"/>
      <c r="C32" s="84"/>
      <c r="D32" s="84"/>
      <c r="E32" s="84">
        <f>E28+E19</f>
        <v>11259.289999999999</v>
      </c>
    </row>
    <row r="37" spans="1:1" x14ac:dyDescent="0.25">
      <c r="A37" s="69"/>
    </row>
    <row r="38" spans="1:1" x14ac:dyDescent="0.25">
      <c r="A38" s="69"/>
    </row>
    <row r="39" spans="1:1" x14ac:dyDescent="0.25">
      <c r="A39" s="69"/>
    </row>
    <row r="40" spans="1:1" x14ac:dyDescent="0.25">
      <c r="A40" s="69"/>
    </row>
    <row r="41" spans="1:1" x14ac:dyDescent="0.25">
      <c r="A41" s="69"/>
    </row>
    <row r="42" spans="1:1" x14ac:dyDescent="0.25">
      <c r="A42" s="69"/>
    </row>
    <row r="43" spans="1:1" x14ac:dyDescent="0.25">
      <c r="A43" s="69"/>
    </row>
    <row r="44" spans="1:1" x14ac:dyDescent="0.25">
      <c r="A44" s="69"/>
    </row>
    <row r="45" spans="1:1" x14ac:dyDescent="0.25">
      <c r="A45" s="69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D34" sqref="D34"/>
    </sheetView>
  </sheetViews>
  <sheetFormatPr defaultRowHeight="15" x14ac:dyDescent="0.25"/>
  <cols>
    <col min="1" max="1" width="36.7109375" customWidth="1"/>
    <col min="2" max="2" width="10.5703125" style="23" bestFit="1" customWidth="1"/>
    <col min="3" max="3" width="14.28515625" style="23" bestFit="1" customWidth="1"/>
    <col min="4" max="5" width="11.5703125" style="23" bestFit="1" customWidth="1"/>
    <col min="6" max="6" width="56.140625" customWidth="1"/>
  </cols>
  <sheetData>
    <row r="1" spans="1:6" s="79" customFormat="1" x14ac:dyDescent="0.25">
      <c r="A1" s="79" t="s">
        <v>118</v>
      </c>
      <c r="B1" s="80"/>
      <c r="C1" s="80" t="s">
        <v>120</v>
      </c>
      <c r="D1" s="80" t="s">
        <v>121</v>
      </c>
      <c r="E1" s="80" t="s">
        <v>124</v>
      </c>
      <c r="F1" s="79" t="s">
        <v>123</v>
      </c>
    </row>
    <row r="2" spans="1:6" x14ac:dyDescent="0.25">
      <c r="A2" t="s">
        <v>119</v>
      </c>
    </row>
    <row r="4" spans="1:6" x14ac:dyDescent="0.25">
      <c r="A4" t="s">
        <v>211</v>
      </c>
      <c r="C4" s="23">
        <v>2995.75</v>
      </c>
    </row>
    <row r="6" spans="1:6" x14ac:dyDescent="0.25">
      <c r="A6" t="s">
        <v>129</v>
      </c>
      <c r="D6" s="23">
        <v>5729.71</v>
      </c>
      <c r="E6" s="23">
        <f>D6</f>
        <v>5729.71</v>
      </c>
      <c r="F6" t="s">
        <v>170</v>
      </c>
    </row>
    <row r="7" spans="1:6" x14ac:dyDescent="0.25">
      <c r="A7" t="s">
        <v>125</v>
      </c>
      <c r="C7" s="23">
        <f>SUM(B8:B15)</f>
        <v>5080.87</v>
      </c>
      <c r="D7" s="23">
        <v>2365.4</v>
      </c>
      <c r="E7" s="23">
        <f>E6-C7+D7</f>
        <v>3014.2400000000002</v>
      </c>
      <c r="F7" t="s">
        <v>122</v>
      </c>
    </row>
    <row r="8" spans="1:6" x14ac:dyDescent="0.25">
      <c r="A8" s="97" t="s">
        <v>206</v>
      </c>
      <c r="B8" s="23">
        <v>5</v>
      </c>
    </row>
    <row r="9" spans="1:6" x14ac:dyDescent="0.25">
      <c r="A9" s="97" t="s">
        <v>207</v>
      </c>
      <c r="B9" s="23">
        <v>1677.94</v>
      </c>
    </row>
    <row r="10" spans="1:6" x14ac:dyDescent="0.25">
      <c r="A10" s="97" t="s">
        <v>206</v>
      </c>
      <c r="B10" s="23">
        <v>7.75</v>
      </c>
    </row>
    <row r="11" spans="1:6" x14ac:dyDescent="0.25">
      <c r="A11" s="97" t="s">
        <v>208</v>
      </c>
      <c r="B11" s="23">
        <v>6.58</v>
      </c>
    </row>
    <row r="12" spans="1:6" x14ac:dyDescent="0.25">
      <c r="A12" s="97" t="s">
        <v>209</v>
      </c>
      <c r="B12" s="23">
        <v>869</v>
      </c>
    </row>
    <row r="13" spans="1:6" x14ac:dyDescent="0.25">
      <c r="A13" s="97" t="s">
        <v>207</v>
      </c>
      <c r="B13" s="23">
        <v>90.2</v>
      </c>
    </row>
    <row r="14" spans="1:6" x14ac:dyDescent="0.25">
      <c r="A14" s="97" t="s">
        <v>210</v>
      </c>
      <c r="B14" s="23">
        <v>446.6</v>
      </c>
    </row>
    <row r="15" spans="1:6" x14ac:dyDescent="0.25">
      <c r="A15" s="97" t="s">
        <v>210</v>
      </c>
      <c r="B15" s="23">
        <v>1977.8</v>
      </c>
    </row>
    <row r="16" spans="1:6" x14ac:dyDescent="0.25">
      <c r="A16" s="78" t="s">
        <v>147</v>
      </c>
      <c r="B16" s="113"/>
      <c r="D16" s="23">
        <f>31/45*3151.99</f>
        <v>2171.3708888888887</v>
      </c>
      <c r="E16" s="23">
        <f>E7-C16+D16</f>
        <v>5185.6108888888884</v>
      </c>
    </row>
    <row r="17" spans="1:6" x14ac:dyDescent="0.25">
      <c r="A17" t="s">
        <v>126</v>
      </c>
      <c r="C17" s="23">
        <f>SUM(B18:B23)</f>
        <v>9106.56</v>
      </c>
      <c r="D17" s="23">
        <v>3186</v>
      </c>
      <c r="E17" s="23">
        <f t="shared" ref="E17:E34" si="0">E16-C17+D17</f>
        <v>-734.94911111111105</v>
      </c>
      <c r="F17" t="s">
        <v>130</v>
      </c>
    </row>
    <row r="18" spans="1:6" x14ac:dyDescent="0.25">
      <c r="A18" s="97" t="s">
        <v>201</v>
      </c>
      <c r="B18" s="23">
        <v>912.19</v>
      </c>
    </row>
    <row r="19" spans="1:6" x14ac:dyDescent="0.25">
      <c r="A19" s="97" t="s">
        <v>202</v>
      </c>
      <c r="B19" s="23">
        <v>4538.93</v>
      </c>
    </row>
    <row r="20" spans="1:6" x14ac:dyDescent="0.25">
      <c r="A20" s="97" t="s">
        <v>203</v>
      </c>
      <c r="B20" s="23">
        <v>2150</v>
      </c>
    </row>
    <row r="21" spans="1:6" x14ac:dyDescent="0.25">
      <c r="A21" s="97" t="s">
        <v>201</v>
      </c>
      <c r="B21" s="23">
        <v>473.54</v>
      </c>
    </row>
    <row r="22" spans="1:6" x14ac:dyDescent="0.25">
      <c r="A22" s="97" t="s">
        <v>203</v>
      </c>
      <c r="B22" s="23">
        <v>1000</v>
      </c>
    </row>
    <row r="23" spans="1:6" x14ac:dyDescent="0.25">
      <c r="A23" s="97" t="s">
        <v>205</v>
      </c>
      <c r="B23" s="23">
        <v>31.9</v>
      </c>
    </row>
    <row r="24" spans="1:6" x14ac:dyDescent="0.25">
      <c r="A24" t="s">
        <v>148</v>
      </c>
      <c r="D24" s="23">
        <f>31/45*4296.5</f>
        <v>2959.8111111111111</v>
      </c>
      <c r="E24" s="23">
        <f>E17-C24+D24</f>
        <v>2224.8620000000001</v>
      </c>
    </row>
    <row r="25" spans="1:6" x14ac:dyDescent="0.25">
      <c r="A25" t="s">
        <v>127</v>
      </c>
      <c r="C25" s="23">
        <v>1543.3</v>
      </c>
      <c r="D25" s="23">
        <v>501</v>
      </c>
      <c r="E25" s="23">
        <f t="shared" si="0"/>
        <v>1182.5620000000001</v>
      </c>
      <c r="F25" t="s">
        <v>128</v>
      </c>
    </row>
    <row r="26" spans="1:6" x14ac:dyDescent="0.25">
      <c r="A26" s="97" t="s">
        <v>204</v>
      </c>
      <c r="B26" s="23">
        <v>1543.3</v>
      </c>
    </row>
    <row r="27" spans="1:6" x14ac:dyDescent="0.25">
      <c r="A27" t="s">
        <v>149</v>
      </c>
      <c r="D27" s="23">
        <f>2205*35/50</f>
        <v>1543.5</v>
      </c>
      <c r="E27" s="23">
        <f>E25-C27+D27</f>
        <v>2726.0619999999999</v>
      </c>
    </row>
    <row r="28" spans="1:6" x14ac:dyDescent="0.25">
      <c r="A28" t="s">
        <v>179</v>
      </c>
      <c r="C28" s="23">
        <f>SUM(B29:B32)</f>
        <v>7739.85</v>
      </c>
      <c r="D28" s="23">
        <v>279</v>
      </c>
      <c r="E28" s="23">
        <f t="shared" si="0"/>
        <v>-4734.7880000000005</v>
      </c>
    </row>
    <row r="29" spans="1:6" x14ac:dyDescent="0.25">
      <c r="A29" s="97" t="s">
        <v>199</v>
      </c>
      <c r="B29" s="23">
        <v>6775</v>
      </c>
    </row>
    <row r="30" spans="1:6" x14ac:dyDescent="0.25">
      <c r="A30" s="97" t="s">
        <v>199</v>
      </c>
      <c r="B30" s="23">
        <v>780</v>
      </c>
    </row>
    <row r="31" spans="1:6" x14ac:dyDescent="0.25">
      <c r="A31" s="97" t="s">
        <v>200</v>
      </c>
      <c r="B31" s="23">
        <v>54.85</v>
      </c>
    </row>
    <row r="32" spans="1:6" x14ac:dyDescent="0.25">
      <c r="A32" s="97" t="s">
        <v>199</v>
      </c>
      <c r="B32" s="23">
        <v>130</v>
      </c>
    </row>
    <row r="33" spans="1:6" x14ac:dyDescent="0.25">
      <c r="A33" t="s">
        <v>180</v>
      </c>
      <c r="D33" s="23">
        <f>2685/50*35</f>
        <v>1879.5</v>
      </c>
      <c r="E33" s="23">
        <f>E28-C33+D33</f>
        <v>-2855.2880000000005</v>
      </c>
    </row>
    <row r="34" spans="1:6" x14ac:dyDescent="0.25">
      <c r="A34" t="s">
        <v>198</v>
      </c>
      <c r="D34" s="23">
        <v>530</v>
      </c>
      <c r="E34" s="23">
        <f t="shared" si="0"/>
        <v>-2325.2880000000005</v>
      </c>
      <c r="F34" t="s">
        <v>181</v>
      </c>
    </row>
    <row r="36" spans="1:6" x14ac:dyDescent="0.25">
      <c r="C36" s="23">
        <f>SUM(C6:C35)</f>
        <v>23470.58</v>
      </c>
      <c r="D36" s="23">
        <f>SUM(D6:D35)</f>
        <v>21145.292000000001</v>
      </c>
      <c r="E36" s="23">
        <f>C36-D36</f>
        <v>2325.2880000000005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5" x14ac:dyDescent="0.25"/>
  <cols>
    <col min="1" max="1" width="54" bestFit="1" customWidth="1"/>
  </cols>
  <sheetData>
    <row r="1" spans="1:1" x14ac:dyDescent="0.25">
      <c r="A1" s="79" t="s">
        <v>249</v>
      </c>
    </row>
    <row r="3" spans="1:1" x14ac:dyDescent="0.25">
      <c r="A3" s="79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9" spans="1:1" x14ac:dyDescent="0.25">
      <c r="A9" s="79" t="s">
        <v>254</v>
      </c>
    </row>
    <row r="10" spans="1:1" x14ac:dyDescent="0.25">
      <c r="A10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Budget</vt:lpstr>
      <vt:lpstr>Actual vs Budget</vt:lpstr>
      <vt:lpstr>Event &amp; Fundraising</vt:lpstr>
      <vt:lpstr>Education</vt:lpstr>
      <vt:lpstr>Costume</vt:lpstr>
      <vt:lpstr>Concert 17Sep16</vt:lpstr>
      <vt:lpstr>Budget!Print_Titles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Martin</dc:creator>
  <cp:lastModifiedBy>Deborah</cp:lastModifiedBy>
  <cp:lastPrinted>2016-03-05T03:58:17Z</cp:lastPrinted>
  <dcterms:created xsi:type="dcterms:W3CDTF">2010-06-04T03:53:35Z</dcterms:created>
  <dcterms:modified xsi:type="dcterms:W3CDTF">2016-06-13T10:30:55Z</dcterms:modified>
</cp:coreProperties>
</file>